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U:\TT\TT-DIRECTION\Conseils de l'UFR\2022 - 2023\CP du 04052023\"/>
    </mc:Choice>
  </mc:AlternateContent>
  <xr:revisionPtr revIDLastSave="0" documentId="8_{68C756C8-DF08-4139-BAEB-C44FA62C7813}" xr6:coauthVersionLast="47" xr6:coauthVersionMax="47" xr10:uidLastSave="{00000000-0000-0000-0000-000000000000}"/>
  <workbookProtection workbookAlgorithmName="SHA-512" workbookHashValue="zh9sMu0K7zgLCiKLnnxfZLbTkX0UyVkAbSZM5o0W8ZZ7Ewlc/Ud+KH1JldA/hHfpDL5CWb1AEdRRgn5rCkgOGw==" workbookSaltValue="j1P+CWw/7QE4vbt3EfVGQQ==" workbookSpinCount="100000" lockStructure="1"/>
  <bookViews>
    <workbookView xWindow="0" yWindow="465" windowWidth="28800" windowHeight="17535" firstSheet="2" activeTab="2" xr2:uid="{00000000-000D-0000-FFFF-FFFF00000000}"/>
  </bookViews>
  <sheets>
    <sheet name="Enseignements" sheetId="39" r:id="rId1"/>
    <sheet name="Recettes et simulat" sheetId="40" r:id="rId2"/>
    <sheet name="Budget détaillé" sheetId="41" r:id="rId3"/>
    <sheet name="Paramétrage" sheetId="36" r:id="rId4"/>
    <sheet name="Budget détaillé heures comp" sheetId="42" state="hidden" r:id="rId5"/>
  </sheets>
  <definedNames>
    <definedName name="_xlnm.Print_Area" localSheetId="2">'Budget détaillé'!$B$1:$T$75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2" i="39" l="1"/>
  <c r="AC33" i="39"/>
  <c r="AC34" i="39"/>
  <c r="AC35" i="39"/>
  <c r="AC36" i="39"/>
  <c r="AC37" i="39"/>
  <c r="AC38" i="39"/>
  <c r="AC39" i="39"/>
  <c r="AC40" i="39"/>
  <c r="AC41" i="39"/>
  <c r="AC42" i="39"/>
  <c r="AC43" i="39"/>
  <c r="AC44" i="39"/>
  <c r="AC45" i="39"/>
  <c r="AC46" i="39"/>
  <c r="AC47" i="39"/>
  <c r="Q58" i="39" l="1"/>
  <c r="Q59" i="39"/>
  <c r="Q60" i="39"/>
  <c r="Q61" i="39"/>
  <c r="Q62" i="39"/>
  <c r="Q63" i="39"/>
  <c r="Q64" i="39"/>
  <c r="Q65" i="39"/>
  <c r="Q66" i="39"/>
  <c r="Q67" i="39"/>
  <c r="Q68" i="39"/>
  <c r="Q69" i="39"/>
  <c r="Q70" i="39"/>
  <c r="Q71" i="39"/>
  <c r="Q72" i="39"/>
  <c r="Q73" i="39"/>
  <c r="Q74" i="39"/>
  <c r="Q75" i="39"/>
  <c r="Q76" i="39"/>
  <c r="Q77" i="39"/>
  <c r="Q78" i="39"/>
  <c r="Q79" i="39"/>
  <c r="Q80" i="39"/>
  <c r="Q81" i="39"/>
  <c r="Q82" i="39"/>
  <c r="Q83" i="39"/>
  <c r="Q84" i="39"/>
  <c r="Q85" i="39"/>
  <c r="Q86" i="39"/>
  <c r="Q87" i="39"/>
  <c r="Q88" i="39"/>
  <c r="Q37" i="39"/>
  <c r="Q38" i="39"/>
  <c r="Q39" i="39"/>
  <c r="Q40" i="39"/>
  <c r="Q41" i="39"/>
  <c r="Q42" i="39"/>
  <c r="Q43" i="39"/>
  <c r="Q44" i="39"/>
  <c r="Q45" i="39"/>
  <c r="Q46" i="39"/>
  <c r="Q47" i="39"/>
  <c r="X89" i="39" l="1"/>
  <c r="V89" i="39"/>
  <c r="R89" i="39"/>
  <c r="X48" i="39"/>
  <c r="R48" i="39" l="1"/>
  <c r="R90" i="39" l="1"/>
  <c r="X7" i="39"/>
  <c r="G19" i="41" l="1"/>
  <c r="P88" i="39"/>
  <c r="P87" i="39"/>
  <c r="P86" i="39"/>
  <c r="P85" i="39"/>
  <c r="P84" i="39"/>
  <c r="P83" i="39"/>
  <c r="P82" i="39"/>
  <c r="P81" i="39"/>
  <c r="P80" i="39"/>
  <c r="P79" i="39"/>
  <c r="P78" i="39"/>
  <c r="P77" i="39"/>
  <c r="P76" i="39"/>
  <c r="P75" i="39"/>
  <c r="P74" i="39"/>
  <c r="P73" i="39"/>
  <c r="P72" i="39"/>
  <c r="P71" i="39"/>
  <c r="P70" i="39"/>
  <c r="P69" i="39"/>
  <c r="P68" i="39"/>
  <c r="P67" i="39"/>
  <c r="P66" i="39"/>
  <c r="P65" i="39"/>
  <c r="P64" i="39"/>
  <c r="P63" i="39"/>
  <c r="P62" i="39"/>
  <c r="P61" i="39"/>
  <c r="P60" i="39"/>
  <c r="P59" i="39"/>
  <c r="P58" i="39"/>
  <c r="P57" i="39"/>
  <c r="P56" i="39"/>
  <c r="Q56" i="39" s="1"/>
  <c r="S56" i="39" s="1"/>
  <c r="P55" i="39"/>
  <c r="P54" i="39"/>
  <c r="P53" i="39"/>
  <c r="P52" i="39"/>
  <c r="P51" i="39"/>
  <c r="P50" i="39"/>
  <c r="P49" i="39"/>
  <c r="Q49" i="39" s="1"/>
  <c r="P47" i="39"/>
  <c r="P46" i="39"/>
  <c r="P45" i="39"/>
  <c r="P44" i="39"/>
  <c r="P43" i="39"/>
  <c r="P42" i="39"/>
  <c r="P41" i="39"/>
  <c r="P40" i="39"/>
  <c r="P39" i="39"/>
  <c r="P38" i="39"/>
  <c r="P37" i="39"/>
  <c r="P36" i="39"/>
  <c r="Q36" i="39" s="1"/>
  <c r="S36" i="39" s="1"/>
  <c r="P35" i="39"/>
  <c r="Q35" i="39" s="1"/>
  <c r="S35" i="39" s="1"/>
  <c r="P34" i="39"/>
  <c r="Q34" i="39" s="1"/>
  <c r="S34" i="39" s="1"/>
  <c r="P33" i="39"/>
  <c r="Q33" i="39" s="1"/>
  <c r="S33" i="39" s="1"/>
  <c r="P32" i="39"/>
  <c r="Q32" i="39" s="1"/>
  <c r="S32" i="39" s="1"/>
  <c r="P31" i="39"/>
  <c r="Q31" i="39" s="1"/>
  <c r="S31" i="39" s="1"/>
  <c r="P30" i="39"/>
  <c r="Q30" i="39" s="1"/>
  <c r="S30" i="39" s="1"/>
  <c r="P29" i="39"/>
  <c r="Q29" i="39" s="1"/>
  <c r="S29" i="39" s="1"/>
  <c r="P28" i="39"/>
  <c r="Q28" i="39" s="1"/>
  <c r="S28" i="39" s="1"/>
  <c r="P9" i="39"/>
  <c r="Q9" i="39" s="1"/>
  <c r="P10" i="39"/>
  <c r="Q10" i="39" s="1"/>
  <c r="P11" i="39"/>
  <c r="Q11" i="39" s="1"/>
  <c r="P12" i="39"/>
  <c r="Q12" i="39" s="1"/>
  <c r="P13" i="39"/>
  <c r="Q13" i="39" s="1"/>
  <c r="P14" i="39"/>
  <c r="Q14" i="39" s="1"/>
  <c r="P15" i="39"/>
  <c r="Q15" i="39" s="1"/>
  <c r="P16" i="39"/>
  <c r="Q16" i="39" s="1"/>
  <c r="P17" i="39"/>
  <c r="Q17" i="39" s="1"/>
  <c r="P18" i="39"/>
  <c r="Q18" i="39" s="1"/>
  <c r="P19" i="39"/>
  <c r="Q19" i="39" s="1"/>
  <c r="P20" i="39"/>
  <c r="P21" i="39"/>
  <c r="Q21" i="39" s="1"/>
  <c r="S21" i="39" s="1"/>
  <c r="P22" i="39"/>
  <c r="P23" i="39"/>
  <c r="Q23" i="39" s="1"/>
  <c r="S23" i="39" s="1"/>
  <c r="P24" i="39"/>
  <c r="Q24" i="39" s="1"/>
  <c r="S24" i="39" s="1"/>
  <c r="P25" i="39"/>
  <c r="Q25" i="39" s="1"/>
  <c r="S25" i="39" s="1"/>
  <c r="P26" i="39"/>
  <c r="Q26" i="39" s="1"/>
  <c r="S26" i="39" s="1"/>
  <c r="P27" i="39"/>
  <c r="Q27" i="39" s="1"/>
  <c r="S27" i="39" s="1"/>
  <c r="P8" i="39"/>
  <c r="Q8" i="39" s="1"/>
  <c r="S60" i="39"/>
  <c r="S59" i="39"/>
  <c r="S58" i="39"/>
  <c r="S88" i="39"/>
  <c r="S87" i="39"/>
  <c r="S86" i="39"/>
  <c r="S85" i="39"/>
  <c r="S84" i="39"/>
  <c r="S83" i="39"/>
  <c r="S82" i="39"/>
  <c r="S81" i="39"/>
  <c r="S80" i="39"/>
  <c r="S79" i="39"/>
  <c r="S78" i="39"/>
  <c r="S77" i="39"/>
  <c r="S76" i="39"/>
  <c r="S75" i="39"/>
  <c r="S74" i="39"/>
  <c r="S73" i="39"/>
  <c r="S72" i="39"/>
  <c r="S71" i="39"/>
  <c r="S70" i="39"/>
  <c r="S69" i="39"/>
  <c r="S68" i="39"/>
  <c r="S67" i="39"/>
  <c r="S66" i="39"/>
  <c r="S65" i="39"/>
  <c r="S64" i="39"/>
  <c r="S63" i="39"/>
  <c r="S62" i="39"/>
  <c r="S61" i="39"/>
  <c r="S47" i="39"/>
  <c r="S46" i="39"/>
  <c r="S45" i="39"/>
  <c r="S44" i="39"/>
  <c r="S43" i="39"/>
  <c r="S42" i="39"/>
  <c r="S41" i="39"/>
  <c r="S40" i="39"/>
  <c r="S39" i="39"/>
  <c r="S38" i="39"/>
  <c r="S37" i="39"/>
  <c r="Q57" i="39" l="1"/>
  <c r="S57" i="39" s="1"/>
  <c r="Q50" i="39"/>
  <c r="S50" i="39" s="1"/>
  <c r="Q52" i="39"/>
  <c r="S52" i="39" s="1"/>
  <c r="Q53" i="39"/>
  <c r="S53" i="39" s="1"/>
  <c r="Q54" i="39"/>
  <c r="Q22" i="39"/>
  <c r="S22" i="39" s="1"/>
  <c r="Q55" i="39"/>
  <c r="S55" i="39" s="1"/>
  <c r="Q51" i="39"/>
  <c r="S51" i="39" s="1"/>
  <c r="Q20" i="39"/>
  <c r="S20" i="39" s="1"/>
  <c r="S19" i="39"/>
  <c r="S18" i="39"/>
  <c r="S10" i="39"/>
  <c r="S17" i="39"/>
  <c r="S9" i="39"/>
  <c r="S16" i="39"/>
  <c r="S15" i="39"/>
  <c r="S14" i="39"/>
  <c r="S13" i="39"/>
  <c r="S49" i="39"/>
  <c r="S12" i="39"/>
  <c r="S11" i="39"/>
  <c r="S8" i="39"/>
  <c r="T8" i="39" s="1"/>
  <c r="Q89" i="39" l="1"/>
  <c r="S54" i="39"/>
  <c r="S89" i="39" s="1"/>
  <c r="T10" i="39"/>
  <c r="Q48" i="39"/>
  <c r="S48" i="39"/>
  <c r="K41" i="42"/>
  <c r="I38" i="42"/>
  <c r="I39" i="42"/>
  <c r="I40" i="42"/>
  <c r="I41" i="42"/>
  <c r="I42" i="42"/>
  <c r="I43" i="42"/>
  <c r="I44" i="42"/>
  <c r="I37" i="42"/>
  <c r="I36" i="42"/>
  <c r="G30" i="42"/>
  <c r="G31" i="42"/>
  <c r="G29" i="42"/>
  <c r="H19" i="42"/>
  <c r="H17" i="42"/>
  <c r="O72" i="42"/>
  <c r="N72" i="42"/>
  <c r="M72" i="42"/>
  <c r="L72" i="42"/>
  <c r="P70" i="42"/>
  <c r="P69" i="42"/>
  <c r="P64" i="42"/>
  <c r="O64" i="42"/>
  <c r="N64" i="42"/>
  <c r="M64" i="42"/>
  <c r="L64" i="42"/>
  <c r="P58" i="42"/>
  <c r="P57" i="42"/>
  <c r="P56" i="42"/>
  <c r="O55" i="42"/>
  <c r="N55" i="42"/>
  <c r="M55" i="42"/>
  <c r="L55" i="42"/>
  <c r="P54" i="42"/>
  <c r="P53" i="42"/>
  <c r="P52" i="42"/>
  <c r="P51" i="42"/>
  <c r="O50" i="42"/>
  <c r="O59" i="42" s="1"/>
  <c r="N50" i="42"/>
  <c r="N59" i="42" s="1"/>
  <c r="M50" i="42"/>
  <c r="L50" i="42"/>
  <c r="L59" i="42" s="1"/>
  <c r="O49" i="42"/>
  <c r="N49" i="42"/>
  <c r="M49" i="42"/>
  <c r="L49" i="42"/>
  <c r="P44" i="42"/>
  <c r="P43" i="42"/>
  <c r="P42" i="42"/>
  <c r="P41" i="42"/>
  <c r="P40" i="42"/>
  <c r="P39" i="42"/>
  <c r="P38" i="42"/>
  <c r="P37" i="42"/>
  <c r="P36" i="42"/>
  <c r="O35" i="42"/>
  <c r="N35" i="42"/>
  <c r="M35" i="42"/>
  <c r="L35" i="42"/>
  <c r="O32" i="42"/>
  <c r="N32" i="42"/>
  <c r="M32" i="42"/>
  <c r="L32" i="42"/>
  <c r="P31" i="42"/>
  <c r="P30" i="42"/>
  <c r="P29" i="42"/>
  <c r="H29" i="42"/>
  <c r="U28" i="42"/>
  <c r="T28" i="42"/>
  <c r="S28" i="42"/>
  <c r="R28" i="42"/>
  <c r="O27" i="42"/>
  <c r="N27" i="42"/>
  <c r="M27" i="42"/>
  <c r="L27" i="42"/>
  <c r="P26" i="42"/>
  <c r="P25" i="42"/>
  <c r="P24" i="42"/>
  <c r="P23" i="42"/>
  <c r="P22" i="42"/>
  <c r="O20" i="42"/>
  <c r="N20" i="42"/>
  <c r="N14" i="42" s="1"/>
  <c r="M20" i="42"/>
  <c r="L20" i="42"/>
  <c r="P19" i="42"/>
  <c r="P18" i="42"/>
  <c r="P17" i="42"/>
  <c r="P16" i="42"/>
  <c r="K8" i="42"/>
  <c r="J8" i="42"/>
  <c r="H7" i="42"/>
  <c r="E7" i="42"/>
  <c r="H6" i="42"/>
  <c r="D6" i="42"/>
  <c r="H5" i="42"/>
  <c r="D5" i="42"/>
  <c r="M14" i="42" l="1"/>
  <c r="P27" i="42"/>
  <c r="M59" i="42"/>
  <c r="O14" i="42"/>
  <c r="L46" i="42"/>
  <c r="L62" i="42" s="1"/>
  <c r="L75" i="42" s="1"/>
  <c r="M46" i="42"/>
  <c r="M62" i="42" s="1"/>
  <c r="M75" i="42" s="1"/>
  <c r="P50" i="42"/>
  <c r="P55" i="42"/>
  <c r="P59" i="42" s="1"/>
  <c r="O46" i="42"/>
  <c r="O62" i="42" s="1"/>
  <c r="O75" i="42" s="1"/>
  <c r="Q90" i="39"/>
  <c r="S90" i="39"/>
  <c r="G32" i="42"/>
  <c r="I29" i="42"/>
  <c r="R29" i="42" s="1"/>
  <c r="P32" i="42"/>
  <c r="N46" i="42"/>
  <c r="N62" i="42" s="1"/>
  <c r="N75" i="42" s="1"/>
  <c r="P35" i="42"/>
  <c r="P72" i="42"/>
  <c r="P20" i="42"/>
  <c r="L14" i="42"/>
  <c r="I35" i="42"/>
  <c r="I45" i="42" s="1"/>
  <c r="P46" i="42" l="1"/>
  <c r="P14" i="42"/>
  <c r="P62" i="42"/>
  <c r="S29" i="42"/>
  <c r="U29" i="42"/>
  <c r="T29" i="42"/>
  <c r="P75" i="42"/>
  <c r="L64" i="41" l="1"/>
  <c r="M64" i="41"/>
  <c r="N64" i="41"/>
  <c r="O64" i="41"/>
  <c r="P64" i="41"/>
  <c r="K8" i="41" l="1"/>
  <c r="J8" i="41"/>
  <c r="H7" i="41"/>
  <c r="E7" i="41"/>
  <c r="H6" i="41"/>
  <c r="D6" i="41"/>
  <c r="H5" i="41"/>
  <c r="H51" i="41" s="1"/>
  <c r="D5" i="41"/>
  <c r="G19" i="42"/>
  <c r="I19" i="42" s="1"/>
  <c r="Y88" i="39"/>
  <c r="Y87" i="39"/>
  <c r="Y86" i="39"/>
  <c r="Y85" i="39"/>
  <c r="Y84" i="39"/>
  <c r="Y83" i="39"/>
  <c r="Y82" i="39"/>
  <c r="Y81" i="39"/>
  <c r="Y80" i="39"/>
  <c r="Y79" i="39"/>
  <c r="Y78" i="39"/>
  <c r="Y77" i="39"/>
  <c r="Y76" i="39"/>
  <c r="Y75" i="39"/>
  <c r="Y74" i="39"/>
  <c r="Y73" i="39"/>
  <c r="Y72" i="39"/>
  <c r="Y71" i="39"/>
  <c r="Y70" i="39"/>
  <c r="Y69" i="39"/>
  <c r="Y68" i="39"/>
  <c r="Y67" i="39"/>
  <c r="Y66" i="39"/>
  <c r="Y65" i="39"/>
  <c r="Y64" i="39"/>
  <c r="Y63" i="39"/>
  <c r="Y62" i="39"/>
  <c r="Y61" i="39"/>
  <c r="Y60" i="39"/>
  <c r="Y56" i="39"/>
  <c r="Y47" i="39"/>
  <c r="Y46" i="39"/>
  <c r="Y45" i="39"/>
  <c r="Y44" i="39"/>
  <c r="Y43" i="39"/>
  <c r="Y42" i="39"/>
  <c r="Y41" i="39"/>
  <c r="Y40" i="39"/>
  <c r="Y39" i="39"/>
  <c r="Y38" i="39"/>
  <c r="Y37" i="39"/>
  <c r="Y36" i="39"/>
  <c r="Y35" i="39"/>
  <c r="Y34" i="39"/>
  <c r="Y33" i="39"/>
  <c r="Y32" i="39"/>
  <c r="Y31" i="39"/>
  <c r="Y30" i="39"/>
  <c r="Y29" i="39"/>
  <c r="Y28" i="39"/>
  <c r="Y10" i="39"/>
  <c r="Y24" i="39"/>
  <c r="Y25" i="39"/>
  <c r="Y26" i="39"/>
  <c r="Y27" i="39"/>
  <c r="Y8" i="39"/>
  <c r="H57" i="41" l="1"/>
  <c r="H54" i="41"/>
  <c r="H53" i="41"/>
  <c r="H58" i="41"/>
  <c r="H56" i="41"/>
  <c r="H52" i="41"/>
  <c r="Q19" i="42"/>
  <c r="V19" i="42" s="1"/>
  <c r="S19" i="42"/>
  <c r="T19" i="42"/>
  <c r="U19" i="42"/>
  <c r="R19" i="42"/>
  <c r="O72" i="41" l="1"/>
  <c r="N72" i="41"/>
  <c r="M72" i="41"/>
  <c r="L72" i="41"/>
  <c r="P70" i="41"/>
  <c r="P69" i="41"/>
  <c r="P58" i="41"/>
  <c r="P57" i="41"/>
  <c r="P56" i="41"/>
  <c r="O55" i="41"/>
  <c r="N55" i="41"/>
  <c r="M55" i="41"/>
  <c r="L55" i="41"/>
  <c r="P54" i="41"/>
  <c r="P53" i="41"/>
  <c r="P52" i="41"/>
  <c r="P51" i="41"/>
  <c r="O50" i="41"/>
  <c r="O59" i="41" s="1"/>
  <c r="N50" i="41"/>
  <c r="M50" i="41"/>
  <c r="M59" i="41" s="1"/>
  <c r="L50" i="41"/>
  <c r="L59" i="41" s="1"/>
  <c r="O49" i="41"/>
  <c r="N49" i="41"/>
  <c r="M49" i="41"/>
  <c r="L49" i="41"/>
  <c r="P44" i="41"/>
  <c r="P43" i="41"/>
  <c r="P42" i="41"/>
  <c r="K42" i="41"/>
  <c r="P41" i="41"/>
  <c r="J41" i="41"/>
  <c r="J41" i="42" s="1"/>
  <c r="P40" i="41"/>
  <c r="P39" i="41"/>
  <c r="P38" i="41"/>
  <c r="P37" i="41"/>
  <c r="P36" i="41"/>
  <c r="O35" i="41"/>
  <c r="N35" i="41"/>
  <c r="M35" i="41"/>
  <c r="L35" i="41"/>
  <c r="I35" i="41"/>
  <c r="O32" i="41"/>
  <c r="N32" i="41"/>
  <c r="M32" i="41"/>
  <c r="L32" i="41"/>
  <c r="G32" i="41"/>
  <c r="P31" i="41"/>
  <c r="P30" i="41"/>
  <c r="P29" i="41"/>
  <c r="H29" i="41"/>
  <c r="I29" i="41" s="1"/>
  <c r="U28" i="41"/>
  <c r="T28" i="41"/>
  <c r="S28" i="41"/>
  <c r="R28" i="41"/>
  <c r="O27" i="41"/>
  <c r="N27" i="41"/>
  <c r="M27" i="41"/>
  <c r="L27" i="41"/>
  <c r="P26" i="41"/>
  <c r="P25" i="41"/>
  <c r="P24" i="41"/>
  <c r="P23" i="41"/>
  <c r="P22" i="41"/>
  <c r="O20" i="41"/>
  <c r="N20" i="41"/>
  <c r="M20" i="41"/>
  <c r="L20" i="41"/>
  <c r="L14" i="41" s="1"/>
  <c r="P19" i="41"/>
  <c r="I19" i="41"/>
  <c r="P18" i="41"/>
  <c r="P17" i="41"/>
  <c r="P16" i="41"/>
  <c r="F39" i="40"/>
  <c r="K28" i="40"/>
  <c r="F28" i="40"/>
  <c r="K27" i="40"/>
  <c r="H27" i="40"/>
  <c r="G27" i="40"/>
  <c r="J27" i="40" s="1"/>
  <c r="K26" i="40"/>
  <c r="H26" i="40"/>
  <c r="G26" i="40"/>
  <c r="J26" i="40" s="1"/>
  <c r="K25" i="40"/>
  <c r="H25" i="40"/>
  <c r="G25" i="40"/>
  <c r="J25" i="40" s="1"/>
  <c r="K24" i="40"/>
  <c r="H24" i="40"/>
  <c r="G24" i="40"/>
  <c r="J24" i="40" s="1"/>
  <c r="K23" i="40"/>
  <c r="H23" i="40"/>
  <c r="G23" i="40"/>
  <c r="J23" i="40" s="1"/>
  <c r="K22" i="40"/>
  <c r="H22" i="40"/>
  <c r="G22" i="40"/>
  <c r="J22" i="40" s="1"/>
  <c r="K21" i="40"/>
  <c r="H21" i="40"/>
  <c r="G21" i="40"/>
  <c r="J21" i="40" s="1"/>
  <c r="K20" i="40"/>
  <c r="H20" i="40"/>
  <c r="G20" i="40"/>
  <c r="J20" i="40" s="1"/>
  <c r="H19" i="40"/>
  <c r="G19" i="40"/>
  <c r="J19" i="40" s="1"/>
  <c r="K19" i="40" s="1"/>
  <c r="H18" i="40"/>
  <c r="G18" i="40"/>
  <c r="G28" i="40" l="1"/>
  <c r="H28" i="40" s="1"/>
  <c r="K70" i="42"/>
  <c r="I70" i="42" s="1"/>
  <c r="K70" i="41"/>
  <c r="I70" i="41" s="1"/>
  <c r="J42" i="41"/>
  <c r="J42" i="42" s="1"/>
  <c r="K42" i="42"/>
  <c r="F16" i="40"/>
  <c r="G16" i="40" s="1"/>
  <c r="J69" i="42" s="1"/>
  <c r="E8" i="42"/>
  <c r="E8" i="41"/>
  <c r="K40" i="41" s="1"/>
  <c r="J18" i="40"/>
  <c r="P55" i="41"/>
  <c r="P72" i="41"/>
  <c r="O14" i="41"/>
  <c r="M14" i="41"/>
  <c r="P35" i="41"/>
  <c r="N59" i="41"/>
  <c r="P20" i="41"/>
  <c r="N14" i="41"/>
  <c r="P27" i="41"/>
  <c r="L46" i="41"/>
  <c r="L62" i="41" s="1"/>
  <c r="L75" i="41" s="1"/>
  <c r="P32" i="41"/>
  <c r="M46" i="41"/>
  <c r="M62" i="41" s="1"/>
  <c r="M75" i="41" s="1"/>
  <c r="P50" i="41"/>
  <c r="N46" i="41"/>
  <c r="O46" i="41"/>
  <c r="O62" i="41" s="1"/>
  <c r="O75" i="41" s="1"/>
  <c r="I45" i="41"/>
  <c r="Q19" i="41"/>
  <c r="K29" i="41" l="1"/>
  <c r="J29" i="41" s="1"/>
  <c r="Q29" i="41" s="1"/>
  <c r="K36" i="41"/>
  <c r="K36" i="42" s="1"/>
  <c r="K44" i="41"/>
  <c r="K44" i="42" s="1"/>
  <c r="J69" i="41"/>
  <c r="J72" i="41" s="1"/>
  <c r="K37" i="41"/>
  <c r="J37" i="41" s="1"/>
  <c r="J37" i="42" s="1"/>
  <c r="K19" i="41"/>
  <c r="J19" i="41" s="1"/>
  <c r="J28" i="40"/>
  <c r="K69" i="42" s="1"/>
  <c r="K72" i="42" s="1"/>
  <c r="K73" i="42" s="1"/>
  <c r="K18" i="40"/>
  <c r="K43" i="41"/>
  <c r="J43" i="41" s="1"/>
  <c r="J43" i="42" s="1"/>
  <c r="K39" i="41"/>
  <c r="K39" i="42" s="1"/>
  <c r="I51" i="41"/>
  <c r="I51" i="42" s="1"/>
  <c r="H51" i="42"/>
  <c r="K29" i="42"/>
  <c r="J29" i="42" s="1"/>
  <c r="Q29" i="42" s="1"/>
  <c r="V29" i="42" s="1"/>
  <c r="K19" i="42"/>
  <c r="J19" i="42" s="1"/>
  <c r="K38" i="41"/>
  <c r="J38" i="41" s="1"/>
  <c r="J38" i="42" s="1"/>
  <c r="J72" i="42"/>
  <c r="J40" i="41"/>
  <c r="J40" i="42" s="1"/>
  <c r="K40" i="42"/>
  <c r="N62" i="41"/>
  <c r="N75" i="41" s="1"/>
  <c r="P46" i="41"/>
  <c r="P59" i="41"/>
  <c r="P14" i="41"/>
  <c r="P62" i="41" l="1"/>
  <c r="P75" i="41" s="1"/>
  <c r="J36" i="41"/>
  <c r="J36" i="42" s="1"/>
  <c r="J44" i="41"/>
  <c r="J44" i="42" s="1"/>
  <c r="K37" i="42"/>
  <c r="K43" i="42"/>
  <c r="J39" i="41"/>
  <c r="J39" i="42" s="1"/>
  <c r="K35" i="41"/>
  <c r="K45" i="41" s="1"/>
  <c r="K51" i="41"/>
  <c r="K51" i="42" s="1"/>
  <c r="K69" i="41"/>
  <c r="I69" i="41" s="1"/>
  <c r="I72" i="41" s="1"/>
  <c r="I69" i="42"/>
  <c r="I72" i="42" s="1"/>
  <c r="K38" i="42"/>
  <c r="K35" i="42" l="1"/>
  <c r="K45" i="42" s="1"/>
  <c r="K72" i="41"/>
  <c r="Q35" i="41" s="1"/>
  <c r="J51" i="41"/>
  <c r="J51" i="42" s="1"/>
  <c r="J35" i="42"/>
  <c r="J45" i="42" s="1"/>
  <c r="J35" i="41"/>
  <c r="J45" i="41" s="1"/>
  <c r="K73" i="41" l="1"/>
  <c r="Q35" i="42"/>
  <c r="AD84" i="39"/>
  <c r="AC84" i="39"/>
  <c r="T84" i="39"/>
  <c r="AD83" i="39"/>
  <c r="AC83" i="39"/>
  <c r="T83" i="39"/>
  <c r="AD82" i="39"/>
  <c r="AC82" i="39"/>
  <c r="T82" i="39"/>
  <c r="AD81" i="39"/>
  <c r="AC81" i="39"/>
  <c r="T81" i="39"/>
  <c r="AD80" i="39"/>
  <c r="AC80" i="39"/>
  <c r="T80" i="39"/>
  <c r="AD79" i="39"/>
  <c r="AC79" i="39"/>
  <c r="T79" i="39"/>
  <c r="AD78" i="39"/>
  <c r="AC78" i="39"/>
  <c r="T78" i="39"/>
  <c r="AD77" i="39"/>
  <c r="AC77" i="39"/>
  <c r="T77" i="39"/>
  <c r="AD76" i="39"/>
  <c r="AC76" i="39"/>
  <c r="T76" i="39"/>
  <c r="AD75" i="39"/>
  <c r="AC75" i="39"/>
  <c r="T75" i="39"/>
  <c r="AD74" i="39"/>
  <c r="AC74" i="39"/>
  <c r="T74" i="39"/>
  <c r="AD73" i="39"/>
  <c r="AC73" i="39"/>
  <c r="T73" i="39"/>
  <c r="AD72" i="39"/>
  <c r="AC72" i="39"/>
  <c r="T72" i="39"/>
  <c r="T51" i="39"/>
  <c r="AD51" i="39"/>
  <c r="AC51" i="39" s="1"/>
  <c r="T52" i="39"/>
  <c r="Y52" i="39" s="1"/>
  <c r="AD52" i="39"/>
  <c r="AC52" i="39" s="1"/>
  <c r="T53" i="39"/>
  <c r="Y53" i="39" s="1"/>
  <c r="AD53" i="39"/>
  <c r="AC53" i="39" s="1"/>
  <c r="T54" i="39"/>
  <c r="Y54" i="39" s="1"/>
  <c r="AD54" i="39"/>
  <c r="AC54" i="39" s="1"/>
  <c r="T55" i="39"/>
  <c r="Y55" i="39" s="1"/>
  <c r="AD55" i="39"/>
  <c r="AC55" i="39" s="1"/>
  <c r="T56" i="39"/>
  <c r="AD56" i="39"/>
  <c r="AC56" i="39" s="1"/>
  <c r="T57" i="39"/>
  <c r="Y57" i="39" s="1"/>
  <c r="AD57" i="39"/>
  <c r="AC57" i="39" s="1"/>
  <c r="T58" i="39"/>
  <c r="Y58" i="39" s="1"/>
  <c r="AD58" i="39"/>
  <c r="AC58" i="39" s="1"/>
  <c r="T59" i="39"/>
  <c r="Y59" i="39" s="1"/>
  <c r="AD59" i="39"/>
  <c r="AC59" i="39" s="1"/>
  <c r="T60" i="39"/>
  <c r="AD60" i="39"/>
  <c r="AC60" i="39" s="1"/>
  <c r="T61" i="39"/>
  <c r="AD61" i="39"/>
  <c r="AC61" i="39" s="1"/>
  <c r="T62" i="39"/>
  <c r="AC62" i="39"/>
  <c r="AD62" i="39"/>
  <c r="AD34" i="39"/>
  <c r="T34" i="39"/>
  <c r="AD33" i="39"/>
  <c r="T33" i="39"/>
  <c r="AD37" i="39"/>
  <c r="T37" i="39"/>
  <c r="AD36" i="39"/>
  <c r="T36" i="39"/>
  <c r="AD35" i="39"/>
  <c r="T35" i="39"/>
  <c r="AD32" i="39"/>
  <c r="T32" i="39"/>
  <c r="AD31" i="39"/>
  <c r="AC31" i="39" s="1"/>
  <c r="T31" i="39"/>
  <c r="T14" i="39"/>
  <c r="AD14" i="39"/>
  <c r="AC14" i="39" s="1"/>
  <c r="T15" i="39"/>
  <c r="AD15" i="39"/>
  <c r="AC15" i="39" s="1"/>
  <c r="T16" i="39"/>
  <c r="AD16" i="39"/>
  <c r="AC16" i="39" s="1"/>
  <c r="AD30" i="39"/>
  <c r="AC30" i="39" s="1"/>
  <c r="AD38" i="39"/>
  <c r="AD39" i="39"/>
  <c r="AD40" i="39"/>
  <c r="AD41" i="39"/>
  <c r="T30" i="39"/>
  <c r="T38" i="39"/>
  <c r="T39" i="39"/>
  <c r="T40" i="39"/>
  <c r="T41" i="39"/>
  <c r="T42" i="39"/>
  <c r="T43" i="39"/>
  <c r="AD12" i="39"/>
  <c r="AC12" i="39" s="1"/>
  <c r="AD13" i="39"/>
  <c r="AC13" i="39" s="1"/>
  <c r="AD17" i="39"/>
  <c r="AC17" i="39" s="1"/>
  <c r="AD18" i="39"/>
  <c r="AC18" i="39" s="1"/>
  <c r="AD19" i="39"/>
  <c r="AC19" i="39" s="1"/>
  <c r="AD20" i="39"/>
  <c r="AC20" i="39" s="1"/>
  <c r="AD21" i="39"/>
  <c r="AC21" i="39" s="1"/>
  <c r="AD22" i="39"/>
  <c r="AC22" i="39" s="1"/>
  <c r="AD23" i="39"/>
  <c r="AC23" i="39" s="1"/>
  <c r="T23" i="39"/>
  <c r="T22" i="39"/>
  <c r="T21" i="39"/>
  <c r="T20" i="39"/>
  <c r="T19" i="39"/>
  <c r="T18" i="39"/>
  <c r="T17" i="39"/>
  <c r="T13" i="39"/>
  <c r="T12" i="39"/>
  <c r="J3" i="39" l="1"/>
  <c r="K3" i="39"/>
  <c r="L3" i="39"/>
  <c r="L4" i="39"/>
  <c r="Y23" i="39"/>
  <c r="U89" i="39"/>
  <c r="Y51" i="39"/>
  <c r="Y19" i="39"/>
  <c r="Y15" i="39"/>
  <c r="Y12" i="39"/>
  <c r="Y16" i="39"/>
  <c r="Y13" i="39"/>
  <c r="Y14" i="39"/>
  <c r="Y17" i="39"/>
  <c r="Y20" i="39"/>
  <c r="G23" i="41" s="1"/>
  <c r="Y21" i="39"/>
  <c r="Y22" i="39"/>
  <c r="G17" i="41" l="1"/>
  <c r="G17" i="42" s="1"/>
  <c r="I17" i="42" s="1"/>
  <c r="V48" i="39"/>
  <c r="V7" i="39" s="1"/>
  <c r="G25" i="41"/>
  <c r="H25" i="41" s="1"/>
  <c r="I25" i="41" s="1"/>
  <c r="K25" i="41" s="1"/>
  <c r="W48" i="39"/>
  <c r="Y18" i="39"/>
  <c r="H23" i="41"/>
  <c r="I23" i="41" s="1"/>
  <c r="K23" i="41" s="1"/>
  <c r="G23" i="42"/>
  <c r="H23" i="42" s="1"/>
  <c r="I23" i="42" s="1"/>
  <c r="K23" i="42" s="1"/>
  <c r="J23" i="42" s="1"/>
  <c r="Q23" i="42" s="1"/>
  <c r="V23" i="42" s="1"/>
  <c r="AC68" i="39"/>
  <c r="AC67" i="39"/>
  <c r="AC66" i="39"/>
  <c r="AC65" i="39"/>
  <c r="AC64" i="39"/>
  <c r="AC88" i="39"/>
  <c r="AC87" i="39"/>
  <c r="AC86" i="39"/>
  <c r="I17" i="41" l="1"/>
  <c r="K17" i="41" s="1"/>
  <c r="J17" i="41" s="1"/>
  <c r="Q17" i="41" s="1"/>
  <c r="G25" i="42"/>
  <c r="H25" i="42" s="1"/>
  <c r="I25" i="42" s="1"/>
  <c r="T25" i="42" s="1"/>
  <c r="U17" i="42"/>
  <c r="R17" i="42"/>
  <c r="S17" i="42"/>
  <c r="T17" i="42"/>
  <c r="K17" i="42"/>
  <c r="J17" i="42" s="1"/>
  <c r="Q17" i="42" s="1"/>
  <c r="V17" i="42" s="1"/>
  <c r="J23" i="41"/>
  <c r="Q23" i="41" s="1"/>
  <c r="T23" i="42"/>
  <c r="U23" i="42"/>
  <c r="S23" i="42"/>
  <c r="R23" i="42"/>
  <c r="J25" i="41"/>
  <c r="Q25" i="41" s="1"/>
  <c r="U25" i="42" l="1"/>
  <c r="K25" i="42"/>
  <c r="J25" i="42" s="1"/>
  <c r="Q25" i="42" s="1"/>
  <c r="V25" i="42" s="1"/>
  <c r="R25" i="42"/>
  <c r="S25" i="42"/>
  <c r="AD71" i="39"/>
  <c r="AC71" i="39" s="1"/>
  <c r="AD85" i="39"/>
  <c r="AC85" i="39" s="1"/>
  <c r="AD86" i="39"/>
  <c r="T88" i="39" l="1"/>
  <c r="T87" i="39"/>
  <c r="T86" i="39"/>
  <c r="T85" i="39"/>
  <c r="T68" i="39"/>
  <c r="T67" i="39"/>
  <c r="T66" i="39"/>
  <c r="T65" i="39"/>
  <c r="T64" i="39"/>
  <c r="AD68" i="39"/>
  <c r="AD67" i="39"/>
  <c r="AD66" i="39"/>
  <c r="AD65" i="39"/>
  <c r="AD64" i="39"/>
  <c r="AD63" i="39"/>
  <c r="AC63" i="39" s="1"/>
  <c r="AD88" i="39"/>
  <c r="AD87" i="39"/>
  <c r="AD70" i="39"/>
  <c r="AC70" i="39" s="1"/>
  <c r="AD69" i="39"/>
  <c r="AC69" i="39" s="1"/>
  <c r="R7" i="39"/>
  <c r="AD47" i="39"/>
  <c r="T47" i="39"/>
  <c r="AD46" i="39"/>
  <c r="T46" i="39"/>
  <c r="AD45" i="39"/>
  <c r="T45" i="39"/>
  <c r="AD44" i="39"/>
  <c r="T44" i="39"/>
  <c r="AD43" i="39"/>
  <c r="AD42" i="39"/>
  <c r="AD27" i="39"/>
  <c r="AC27" i="39" s="1"/>
  <c r="T27" i="39"/>
  <c r="AD26" i="39"/>
  <c r="AC26" i="39" s="1"/>
  <c r="T26" i="39"/>
  <c r="AD25" i="39"/>
  <c r="AC25" i="39" s="1"/>
  <c r="T25" i="39"/>
  <c r="AD24" i="39"/>
  <c r="AC24" i="39" s="1"/>
  <c r="T24" i="39"/>
  <c r="AD11" i="39"/>
  <c r="AC11" i="39" s="1"/>
  <c r="T11" i="39"/>
  <c r="AD10" i="39"/>
  <c r="AC10" i="39" s="1"/>
  <c r="Y11" i="39" l="1"/>
  <c r="G26" i="41"/>
  <c r="G24" i="41"/>
  <c r="H24" i="41" s="1"/>
  <c r="T71" i="39"/>
  <c r="T70" i="39"/>
  <c r="T69" i="39"/>
  <c r="AD49" i="39"/>
  <c r="AC49" i="39" s="1"/>
  <c r="I24" i="41" l="1"/>
  <c r="G24" i="42"/>
  <c r="G26" i="42"/>
  <c r="H26" i="42" s="1"/>
  <c r="I26" i="42" s="1"/>
  <c r="K26" i="42" s="1"/>
  <c r="H26" i="41"/>
  <c r="I26" i="41" s="1"/>
  <c r="T29" i="39"/>
  <c r="T63" i="39"/>
  <c r="AD29" i="39"/>
  <c r="AC29" i="39" s="1"/>
  <c r="AD28" i="39"/>
  <c r="AC28" i="39" s="1"/>
  <c r="AD50" i="39"/>
  <c r="AD8" i="39"/>
  <c r="AC8" i="39" s="1"/>
  <c r="AD9" i="39"/>
  <c r="AC9" i="39" s="1"/>
  <c r="AD89" i="39" l="1"/>
  <c r="AC50" i="39"/>
  <c r="AD48" i="39"/>
  <c r="K26" i="41"/>
  <c r="S26" i="42"/>
  <c r="U26" i="42"/>
  <c r="T26" i="42"/>
  <c r="R26" i="42"/>
  <c r="J26" i="42"/>
  <c r="Q26" i="42" s="1"/>
  <c r="V26" i="42" s="1"/>
  <c r="H24" i="42"/>
  <c r="I24" i="42" s="1"/>
  <c r="J24" i="41"/>
  <c r="Q24" i="41" s="1"/>
  <c r="K4" i="39"/>
  <c r="Q7" i="39"/>
  <c r="T28" i="39"/>
  <c r="AC89" i="39" l="1"/>
  <c r="H89" i="39" s="1"/>
  <c r="J4" i="39"/>
  <c r="I4" i="39"/>
  <c r="H4" i="39" s="1"/>
  <c r="I3" i="39"/>
  <c r="H3" i="39" s="1"/>
  <c r="AC48" i="39"/>
  <c r="H48" i="39" s="1"/>
  <c r="S7" i="39"/>
  <c r="J26" i="41"/>
  <c r="Q26" i="41" s="1"/>
  <c r="S24" i="42"/>
  <c r="T24" i="42"/>
  <c r="J24" i="42"/>
  <c r="Q24" i="42" s="1"/>
  <c r="R24" i="42"/>
  <c r="U24" i="42"/>
  <c r="T50" i="39"/>
  <c r="Y50" i="39" s="1"/>
  <c r="G22" i="41" s="1"/>
  <c r="T9" i="39"/>
  <c r="T49" i="39"/>
  <c r="H22" i="41" l="1"/>
  <c r="I22" i="41" s="1"/>
  <c r="G22" i="42"/>
  <c r="G27" i="41"/>
  <c r="H90" i="39"/>
  <c r="W89" i="39"/>
  <c r="W7" i="39" s="1"/>
  <c r="Y49" i="39"/>
  <c r="Y89" i="39" s="1"/>
  <c r="G18" i="41"/>
  <c r="T48" i="39"/>
  <c r="Y9" i="39"/>
  <c r="Y48" i="39" s="1"/>
  <c r="T89" i="39"/>
  <c r="V24" i="42"/>
  <c r="H22" i="42" l="1"/>
  <c r="I22" i="42" s="1"/>
  <c r="G27" i="42"/>
  <c r="K22" i="41"/>
  <c r="K27" i="41" s="1"/>
  <c r="Q27" i="41" s="1"/>
  <c r="I27" i="41"/>
  <c r="H27" i="41" s="1"/>
  <c r="Y7" i="39"/>
  <c r="I18" i="41"/>
  <c r="K18" i="41" s="1"/>
  <c r="J18" i="41" s="1"/>
  <c r="Q18" i="41" s="1"/>
  <c r="G18" i="42"/>
  <c r="I18" i="42" s="1"/>
  <c r="T90" i="39"/>
  <c r="G16" i="41"/>
  <c r="U48" i="39"/>
  <c r="U7" i="39" s="1"/>
  <c r="T7" i="39"/>
  <c r="I52" i="41"/>
  <c r="I52" i="42" s="1"/>
  <c r="H52" i="42"/>
  <c r="I53" i="41"/>
  <c r="I53" i="42" s="1"/>
  <c r="H53" i="42"/>
  <c r="I57" i="41"/>
  <c r="I57" i="42" s="1"/>
  <c r="H57" i="42"/>
  <c r="I54" i="41"/>
  <c r="H54" i="42"/>
  <c r="I58" i="41"/>
  <c r="I58" i="42" s="1"/>
  <c r="H58" i="42"/>
  <c r="I56" i="41"/>
  <c r="I56" i="42" s="1"/>
  <c r="H56" i="42"/>
  <c r="J22" i="41" l="1"/>
  <c r="Q22" i="41" s="1"/>
  <c r="K22" i="42"/>
  <c r="K27" i="42" s="1"/>
  <c r="Q27" i="42" s="1"/>
  <c r="U22" i="42"/>
  <c r="R22" i="42"/>
  <c r="Q22" i="42"/>
  <c r="V22" i="42" s="1"/>
  <c r="S22" i="42"/>
  <c r="T22" i="42"/>
  <c r="I27" i="42"/>
  <c r="H27" i="42" s="1"/>
  <c r="U18" i="42"/>
  <c r="T18" i="42"/>
  <c r="R18" i="42"/>
  <c r="S18" i="42"/>
  <c r="K18" i="42"/>
  <c r="J18" i="42" s="1"/>
  <c r="Q18" i="42" s="1"/>
  <c r="V18" i="42" s="1"/>
  <c r="I16" i="41"/>
  <c r="G20" i="41"/>
  <c r="G16" i="42"/>
  <c r="K53" i="41"/>
  <c r="J53" i="41" s="1"/>
  <c r="J53" i="42" s="1"/>
  <c r="K58" i="41"/>
  <c r="J58" i="41" s="1"/>
  <c r="J58" i="42" s="1"/>
  <c r="K57" i="41"/>
  <c r="J57" i="41" s="1"/>
  <c r="J57" i="42" s="1"/>
  <c r="K56" i="41"/>
  <c r="K56" i="42" s="1"/>
  <c r="K54" i="41"/>
  <c r="I54" i="42"/>
  <c r="I50" i="42" s="1"/>
  <c r="I50" i="41"/>
  <c r="K52" i="41"/>
  <c r="I55" i="41"/>
  <c r="I55" i="42"/>
  <c r="J27" i="41" l="1"/>
  <c r="J22" i="42"/>
  <c r="J27" i="42" s="1"/>
  <c r="I16" i="42"/>
  <c r="G20" i="42"/>
  <c r="I33" i="41"/>
  <c r="G14" i="41"/>
  <c r="K16" i="41"/>
  <c r="K20" i="41" s="1"/>
  <c r="I20" i="41"/>
  <c r="K53" i="42"/>
  <c r="J56" i="41"/>
  <c r="J56" i="42" s="1"/>
  <c r="J55" i="42" s="1"/>
  <c r="K57" i="42"/>
  <c r="K58" i="42"/>
  <c r="K55" i="41"/>
  <c r="I59" i="42"/>
  <c r="I60" i="42" s="1"/>
  <c r="I59" i="41"/>
  <c r="J52" i="41"/>
  <c r="K52" i="42"/>
  <c r="K50" i="41"/>
  <c r="J54" i="41"/>
  <c r="J54" i="42" s="1"/>
  <c r="K54" i="42"/>
  <c r="J16" i="41" l="1"/>
  <c r="J20" i="41" s="1"/>
  <c r="Q20" i="41"/>
  <c r="G14" i="42"/>
  <c r="H20" i="41"/>
  <c r="K16" i="42"/>
  <c r="K20" i="42" s="1"/>
  <c r="I20" i="42"/>
  <c r="S16" i="42"/>
  <c r="U16" i="42"/>
  <c r="R16" i="42"/>
  <c r="T16" i="42"/>
  <c r="J55" i="41"/>
  <c r="I60" i="41"/>
  <c r="K55" i="42"/>
  <c r="K59" i="41"/>
  <c r="Q59" i="41" s="1"/>
  <c r="K50" i="42"/>
  <c r="J52" i="42"/>
  <c r="J50" i="42" s="1"/>
  <c r="J59" i="42" s="1"/>
  <c r="J50" i="41"/>
  <c r="Q16" i="41" l="1"/>
  <c r="J16" i="42"/>
  <c r="J20" i="42" s="1"/>
  <c r="H30" i="41"/>
  <c r="I30" i="41" s="1"/>
  <c r="H31" i="41"/>
  <c r="I31" i="41" s="1"/>
  <c r="H20" i="42"/>
  <c r="Q20" i="42"/>
  <c r="J59" i="41"/>
  <c r="J60" i="41" s="1"/>
  <c r="K60" i="41"/>
  <c r="K59" i="42"/>
  <c r="Q59" i="42" s="1"/>
  <c r="J60" i="42"/>
  <c r="K60" i="42" l="1"/>
  <c r="Q16" i="42"/>
  <c r="V16" i="42" s="1"/>
  <c r="H30" i="42"/>
  <c r="I30" i="42" s="1"/>
  <c r="H31" i="42"/>
  <c r="I31" i="42" s="1"/>
  <c r="K31" i="41"/>
  <c r="J31" i="41" s="1"/>
  <c r="Q31" i="41"/>
  <c r="I32" i="41"/>
  <c r="K30" i="41"/>
  <c r="J30" i="41" s="1"/>
  <c r="Q30" i="41" s="1"/>
  <c r="J33" i="41" l="1"/>
  <c r="K33" i="41" s="1"/>
  <c r="J32" i="41"/>
  <c r="J34" i="41" s="1"/>
  <c r="H32" i="41"/>
  <c r="I46" i="41"/>
  <c r="I34" i="41"/>
  <c r="H14" i="41"/>
  <c r="I14" i="41"/>
  <c r="K31" i="42"/>
  <c r="J31" i="42" s="1"/>
  <c r="S31" i="42"/>
  <c r="R31" i="42"/>
  <c r="Q31" i="42"/>
  <c r="V31" i="42" s="1"/>
  <c r="U31" i="42"/>
  <c r="T31" i="42"/>
  <c r="U30" i="42"/>
  <c r="R30" i="42"/>
  <c r="K30" i="42"/>
  <c r="I32" i="42"/>
  <c r="T30" i="42"/>
  <c r="S30" i="42"/>
  <c r="K32" i="41"/>
  <c r="J46" i="41" l="1"/>
  <c r="J47" i="41" s="1"/>
  <c r="J14" i="41"/>
  <c r="K32" i="42"/>
  <c r="Q32" i="42" s="1"/>
  <c r="J30" i="42"/>
  <c r="I47" i="41"/>
  <c r="I62" i="41"/>
  <c r="H32" i="42"/>
  <c r="I46" i="42"/>
  <c r="I34" i="42"/>
  <c r="H14" i="42"/>
  <c r="I14" i="42"/>
  <c r="Q32" i="41"/>
  <c r="K46" i="41"/>
  <c r="K34" i="41"/>
  <c r="K14" i="41"/>
  <c r="Q14" i="41" s="1"/>
  <c r="J32" i="42" l="1"/>
  <c r="J34" i="42" s="1"/>
  <c r="Q30" i="42"/>
  <c r="J62" i="41"/>
  <c r="J64" i="41" s="1"/>
  <c r="K14" i="42"/>
  <c r="Q14" i="42" s="1"/>
  <c r="K46" i="42"/>
  <c r="S59" i="42" s="1"/>
  <c r="K34" i="42"/>
  <c r="I47" i="42"/>
  <c r="I62" i="42"/>
  <c r="I64" i="41"/>
  <c r="I75" i="41"/>
  <c r="I63" i="41"/>
  <c r="K47" i="41"/>
  <c r="Q46" i="41"/>
  <c r="K62" i="41"/>
  <c r="S59" i="41"/>
  <c r="J14" i="42" l="1"/>
  <c r="K47" i="42"/>
  <c r="J46" i="42"/>
  <c r="J62" i="42" s="1"/>
  <c r="J75" i="42" s="1"/>
  <c r="J76" i="41" s="1"/>
  <c r="Q46" i="42"/>
  <c r="V30" i="42"/>
  <c r="K33" i="42" s="1"/>
  <c r="J33" i="42"/>
  <c r="K62" i="42"/>
  <c r="J63" i="41"/>
  <c r="J75" i="41"/>
  <c r="E9" i="40" s="1"/>
  <c r="Q62" i="41"/>
  <c r="J9" i="40"/>
  <c r="K63" i="41"/>
  <c r="J10" i="40" s="1"/>
  <c r="K75" i="41"/>
  <c r="Q75" i="41" s="1"/>
  <c r="K64" i="41"/>
  <c r="I63" i="42"/>
  <c r="I75" i="42"/>
  <c r="I76" i="41" s="1"/>
  <c r="J47" i="42" l="1"/>
  <c r="J64" i="42"/>
  <c r="J63" i="42"/>
  <c r="K64" i="42"/>
  <c r="I33" i="42"/>
  <c r="I64" i="42" s="1"/>
  <c r="E10" i="40"/>
  <c r="K63" i="42"/>
  <c r="K75" i="42"/>
  <c r="K76" i="41" s="1"/>
  <c r="Q76" i="41" s="1"/>
  <c r="Q62" i="42"/>
  <c r="Q75" i="4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U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Professeur des universités et assimilés, maître de conférence, professeur agrégé et assimilé et enseignants du second degré (certifié, professeur de lycée professionnel, professeur EPS)</t>
        </r>
      </text>
    </comment>
    <comment ref="V6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Utilisateur Windows: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Enseignant-chercheur associé (PAST et MAST), ATER, lecteurs, maître de langue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Par défaut le nombre d'inscrits payants correspond à la somme des inscrits en formation continue renseignés dans le tableaux ci-dessous. Toutefois cette valeur est modificable manuellement.</t>
        </r>
      </text>
    </comment>
    <comment ref="B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uniquement les droits des étudiants en FI, l'intégralité des droits des stagiaires en FC doit être saisie dans la partie "financements propres"</t>
        </r>
      </text>
    </comment>
    <comment ref="B28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Ne comptabilise que les tarifs pour lesquels le nombre d'étudiants n'est pas nul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C16" authorId="0" shapeId="0" xr:uid="{00000000-0006-0000-0200-000001000000}">
      <text>
        <r>
          <rPr>
            <b/>
            <sz val="9"/>
            <color rgb="FF000000"/>
            <rFont val="Tahoma"/>
            <family val="2"/>
          </rPr>
          <t>Utilisateur Windows: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Professeur des universités et assimilés, maître de conférence, professeur agrégé et assimilé, certifié, professeur de lycée professionnel, professeur EPS</t>
        </r>
      </text>
    </comment>
    <comment ref="C17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Enseignant-chercheur associé ou invité (PAST et MAST), attaché temporaire d’enseignement et de recherche (ATER), lecteurs, maître de langue</t>
        </r>
      </text>
    </comment>
    <comment ref="D51" authorId="0" shapeId="0" xr:uid="{00000000-0006-0000-0200-000003000000}">
      <text>
        <r>
          <rPr>
            <b/>
            <sz val="9"/>
            <color rgb="FF000000"/>
            <rFont val="Tahoma"/>
            <family val="2"/>
          </rPr>
          <t>Utilisateur Windows: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Coût du service commun de formation continue</t>
        </r>
      </text>
    </comment>
    <comment ref="C5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 des personnels BIATSS des composantes, de la DFVE, de la DRI, du SCUIO, etc</t>
        </r>
      </text>
    </comment>
    <comment ref="C5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Coûts du SCD</t>
        </r>
      </text>
    </comment>
    <comment ref="C5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Coûts de la DFVE vie étudiante, du SUAPS, du SUMMPS, etc</t>
        </r>
      </text>
    </comment>
    <comment ref="D56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Coûts des services centraux (présidence, Agence Comptable, DAF, communication,…)</t>
        </r>
      </text>
    </comment>
    <comment ref="C5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Coûts de la DIMMO</t>
        </r>
      </text>
    </comment>
    <comment ref="D58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Coûts de la DSI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Utilisateur Windows</author>
  </authors>
  <commentList>
    <comment ref="C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Professeur des universités et assimilés, maître de conférence, professeur agrégé et assimilé, certifié, professeur de lycée professionnel, professeur EPS</t>
        </r>
      </text>
    </comment>
    <comment ref="C17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Enseignant-chercheur associé ou invité (PAST et MAST), attaché temporaire d’enseignement et de recherche (ATER), lecteurs, maître de langue</t>
        </r>
      </text>
    </comment>
    <comment ref="D5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 du service commun de formation continue</t>
        </r>
      </text>
    </comment>
    <comment ref="C5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 des personnels BIATSS des composantes, de la DFVE, de la DRI, du SCUIO, etc</t>
        </r>
      </text>
    </comment>
    <comment ref="C53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Coûts du SCD</t>
        </r>
      </text>
    </comment>
    <comment ref="C54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Coûts de la DFVE vie étudiante, du SUAPS, du SUMMPS, etc</t>
        </r>
      </text>
    </comment>
    <comment ref="D56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Coûts des services centraux (présidence, Agence Comptable, DAF, communication,…)</t>
        </r>
      </text>
    </comment>
    <comment ref="C5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Coûts de la DIMMO</t>
        </r>
      </text>
    </comment>
    <comment ref="D58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Utilisateur Windows:</t>
        </r>
        <r>
          <rPr>
            <sz val="9"/>
            <color indexed="81"/>
            <rFont val="Tahoma"/>
            <family val="2"/>
          </rPr>
          <t xml:space="preserve">
Coûts de la DSI</t>
        </r>
      </text>
    </comment>
  </commentList>
</comments>
</file>

<file path=xl/sharedStrings.xml><?xml version="1.0" encoding="utf-8"?>
<sst xmlns="http://schemas.openxmlformats.org/spreadsheetml/2006/main" count="639" uniqueCount="328">
  <si>
    <t>Total</t>
  </si>
  <si>
    <t>CM/TD</t>
  </si>
  <si>
    <t>Stage/entreprise</t>
  </si>
  <si>
    <t>Projet</t>
  </si>
  <si>
    <t>Autre</t>
  </si>
  <si>
    <t>Volume horaire par étudiant parcours FI/FC</t>
  </si>
  <si>
    <t>Volume horaire par étudiant parcours alternance</t>
  </si>
  <si>
    <t>Code Enseignement</t>
  </si>
  <si>
    <t>Libellé enseignement</t>
  </si>
  <si>
    <t>Parcours</t>
  </si>
  <si>
    <t>Obligatoire ou optionnel</t>
  </si>
  <si>
    <t>Nb choix</t>
  </si>
  <si>
    <t>type d'enseignement</t>
  </si>
  <si>
    <t>Volume horaire</t>
  </si>
  <si>
    <t>Nb inscrits total</t>
  </si>
  <si>
    <t>Capacité  groupe</t>
  </si>
  <si>
    <t>Portage extérieur</t>
  </si>
  <si>
    <t>Mention, parcours, établissement extérieur porteur</t>
  </si>
  <si>
    <t>Nb de groupes</t>
  </si>
  <si>
    <t xml:space="preserve">Nb d'heures effectives enseigement pédagogique </t>
  </si>
  <si>
    <t>Nb d'heures de suivi</t>
  </si>
  <si>
    <t>Total heures effectives</t>
  </si>
  <si>
    <t>Total HETD</t>
  </si>
  <si>
    <t>Enseignants titulaires</t>
  </si>
  <si>
    <t>Enseignants non titulaires</t>
  </si>
  <si>
    <t xml:space="preserve">Vacataires </t>
  </si>
  <si>
    <t>Autres</t>
  </si>
  <si>
    <r>
      <t xml:space="preserve">Total heures </t>
    </r>
    <r>
      <rPr>
        <b/>
        <u/>
        <sz val="11"/>
        <color theme="0"/>
        <rFont val="Calibri"/>
        <family val="2"/>
        <scheme val="minor"/>
      </rPr>
      <t xml:space="preserve">effectives </t>
    </r>
  </si>
  <si>
    <t>Commentaires et mode de calcul de l'accompagnement</t>
  </si>
  <si>
    <t xml:space="preserve">Nb d'heures étudiant proratisé </t>
  </si>
  <si>
    <t>Nb d'heures tous apprenants</t>
  </si>
  <si>
    <t>Semestre 1</t>
  </si>
  <si>
    <t>EP1.1A</t>
  </si>
  <si>
    <t>Modes de régulation de l'urbanisme</t>
  </si>
  <si>
    <t>MIXTE</t>
  </si>
  <si>
    <t>Obligatoire</t>
  </si>
  <si>
    <t>CM</t>
  </si>
  <si>
    <t>Non</t>
  </si>
  <si>
    <t>EP1.1B</t>
  </si>
  <si>
    <t>Techniques et pratiques financières des collectivités locales</t>
  </si>
  <si>
    <t>EP1.1C</t>
  </si>
  <si>
    <t xml:space="preserve">Cadres et pratiques juridiques </t>
  </si>
  <si>
    <t>EP1.2A</t>
  </si>
  <si>
    <t>Questionnements de la recherche urbaine</t>
  </si>
  <si>
    <t>Mut+ext</t>
  </si>
  <si>
    <t>MOTIFs Pôle Villes et Mobilités</t>
  </si>
  <si>
    <t>EP1.2B</t>
  </si>
  <si>
    <t>Atelier d'initiation à la recherche</t>
  </si>
  <si>
    <t>TD</t>
  </si>
  <si>
    <t>EP1.2C</t>
  </si>
  <si>
    <t>Méthodologie et méthodes</t>
  </si>
  <si>
    <t>EP1.3A</t>
  </si>
  <si>
    <t>Action foncière en aménagement</t>
  </si>
  <si>
    <t>21h de cours effectives (pourquoi ne sont-elles pas comptabilisées ?)</t>
  </si>
  <si>
    <t>EP1.3B</t>
  </si>
  <si>
    <t>EP1.3C</t>
  </si>
  <si>
    <t>Développement économique</t>
  </si>
  <si>
    <t>EP1.3D</t>
  </si>
  <si>
    <t>EP1.3E</t>
  </si>
  <si>
    <t>Montage et conduite des opérations d'aménagement</t>
  </si>
  <si>
    <t>EP1.3F</t>
  </si>
  <si>
    <t>EP1.4A</t>
  </si>
  <si>
    <t>Urbanisme et énergie</t>
  </si>
  <si>
    <t>EP1.4B</t>
  </si>
  <si>
    <t>EP1.4C</t>
  </si>
  <si>
    <t>Urbanisme et mobilités</t>
  </si>
  <si>
    <t>EP1.4D</t>
  </si>
  <si>
    <t>EP1.4E</t>
  </si>
  <si>
    <t xml:space="preserve">Environnement bâti et cadre de vie </t>
  </si>
  <si>
    <t>EP1.4F</t>
  </si>
  <si>
    <t>EP1.5A</t>
  </si>
  <si>
    <t>Interventions dans les territoires en crises</t>
  </si>
  <si>
    <t>EP1.5B</t>
  </si>
  <si>
    <t>suivi complémentaire travail de terrain 10h</t>
  </si>
  <si>
    <t>EP1.5C</t>
  </si>
  <si>
    <t>Atelier espaces publics, forme urbaine et paysage</t>
  </si>
  <si>
    <t>Option</t>
  </si>
  <si>
    <t>PROJTD</t>
  </si>
  <si>
    <t>Atelier prospective, stratégie et planification territoriales</t>
  </si>
  <si>
    <t>suivi fait en atelier</t>
  </si>
  <si>
    <t>Atelier programmation et conception urbaines</t>
  </si>
  <si>
    <t>EP1.5D</t>
  </si>
  <si>
    <t>Ateliers</t>
  </si>
  <si>
    <t>PROJSUIV</t>
  </si>
  <si>
    <t>Semestre 2</t>
  </si>
  <si>
    <t>EP2.1A</t>
  </si>
  <si>
    <t>Communication, concertation, participation</t>
  </si>
  <si>
    <t>EP2.1B</t>
  </si>
  <si>
    <t xml:space="preserve">Outils infographiques et projet </t>
  </si>
  <si>
    <t>EP2.1C</t>
  </si>
  <si>
    <t>Transitions urbaines : retours d'expériences</t>
  </si>
  <si>
    <t>Mut</t>
  </si>
  <si>
    <t>P1 P2</t>
  </si>
  <si>
    <t>EP2.2A</t>
  </si>
  <si>
    <t>Analyse de la pratique</t>
  </si>
  <si>
    <t>EP2.2B</t>
  </si>
  <si>
    <t>EP2.2C</t>
  </si>
  <si>
    <t>Mémoire d'apprentissage</t>
  </si>
  <si>
    <t>ALT</t>
  </si>
  <si>
    <t>MEMSUIV</t>
  </si>
  <si>
    <t>5heqTD x 16 alternants (accompagnement et soutenance)</t>
  </si>
  <si>
    <t>EP2.2D</t>
  </si>
  <si>
    <t>Mémoire de stage (FC)</t>
  </si>
  <si>
    <t>FI/FC</t>
  </si>
  <si>
    <t>5heqTD x 3 FC (accompagnement et soutenance)</t>
  </si>
  <si>
    <t>EP2.2E</t>
  </si>
  <si>
    <t>Apprentissage</t>
  </si>
  <si>
    <t>ALTSUIV</t>
  </si>
  <si>
    <t>5heqTD x 16 alternants (2 visites sur lieu de travail)</t>
  </si>
  <si>
    <t>EP2.2F</t>
  </si>
  <si>
    <t>Stage (FC)</t>
  </si>
  <si>
    <t>5heqTD x 3 FC (2 visites sur lieu de stage)</t>
  </si>
  <si>
    <t>RECETTES ET SIMULATIONS</t>
  </si>
  <si>
    <t>Etablissement</t>
  </si>
  <si>
    <t>Université Lumière Lyon 2</t>
  </si>
  <si>
    <t>Type de formation</t>
  </si>
  <si>
    <t>Master</t>
  </si>
  <si>
    <t>RNCP / RS</t>
  </si>
  <si>
    <t>Nom de la formation</t>
  </si>
  <si>
    <t>Urbanisme et Aménagement
Développement urbain et territorial en Alternance</t>
  </si>
  <si>
    <t xml:space="preserve">Nombre d'inscrits total
</t>
  </si>
  <si>
    <t>Composante</t>
  </si>
  <si>
    <t>TT - Temps et Territoires</t>
  </si>
  <si>
    <t>Cellules à saisir manuellement</t>
  </si>
  <si>
    <t>Nombre d'inscrits payants</t>
  </si>
  <si>
    <t>Année scolaire considérée</t>
  </si>
  <si>
    <t>Rappel de la part à financer au titre de la formation initiale</t>
  </si>
  <si>
    <t>Données financières pour la part autofinancée</t>
  </si>
  <si>
    <t>Résultat</t>
  </si>
  <si>
    <t>Rappel du résultat total</t>
  </si>
  <si>
    <t>Rappel du coût moyen par étudiant FC</t>
  </si>
  <si>
    <t>DROITS D'INSCRIPTION</t>
  </si>
  <si>
    <t>Tarif</t>
  </si>
  <si>
    <t>Type de dispositif</t>
  </si>
  <si>
    <t>Tarif de la formation</t>
  </si>
  <si>
    <t>Nombre inscrits</t>
  </si>
  <si>
    <t>Tarif horaire</t>
  </si>
  <si>
    <t>Taux d'absentéisme (en %)</t>
  </si>
  <si>
    <t>Recettes (avec absentéisme)</t>
  </si>
  <si>
    <t>Tarif horaire avec absentéisme</t>
  </si>
  <si>
    <t>Commentaire/description du tarif</t>
  </si>
  <si>
    <t>Contrat de professionnalisation</t>
  </si>
  <si>
    <t>FORMATION INITIALE</t>
  </si>
  <si>
    <t>Contrat d'apprentissage</t>
  </si>
  <si>
    <t>Droits d'inscription nationaux</t>
  </si>
  <si>
    <t>FINANCEMENTS PROPRES</t>
  </si>
  <si>
    <t>TARIF 1</t>
  </si>
  <si>
    <t>TARIF 2</t>
  </si>
  <si>
    <t>TARIF 3</t>
  </si>
  <si>
    <t>Formation continue</t>
  </si>
  <si>
    <t>TARIF 4</t>
  </si>
  <si>
    <t>TARIF 5</t>
  </si>
  <si>
    <t>TARIF 6</t>
  </si>
  <si>
    <t>TARIF 7</t>
  </si>
  <si>
    <t>TARIF 8</t>
  </si>
  <si>
    <t>TARIF 9</t>
  </si>
  <si>
    <t>TARIF 10</t>
  </si>
  <si>
    <t>Total droits d'inscription payés</t>
  </si>
  <si>
    <t>SUBVENTIONS (hors SCSP)</t>
  </si>
  <si>
    <t>Type de subvention</t>
  </si>
  <si>
    <t>Financeur</t>
  </si>
  <si>
    <t>Montant</t>
  </si>
  <si>
    <t>Commentaire</t>
  </si>
  <si>
    <t>Total subventions</t>
  </si>
  <si>
    <t>BUDGET PREVISIONNEL</t>
  </si>
  <si>
    <t>REPARTITION EN CAS DE PARTENARIAT</t>
  </si>
  <si>
    <t>Formation</t>
  </si>
  <si>
    <t>DEPENSES</t>
  </si>
  <si>
    <t>A</t>
  </si>
  <si>
    <t>REALISATION, PREPARATION DES ENSEIGNEMENTS et CHARGES SPECIFIQUES A CETTE FORMATION</t>
  </si>
  <si>
    <t>Nombre d'Heures à payer (HETD)</t>
  </si>
  <si>
    <t>Coût horaire</t>
  </si>
  <si>
    <t>TOTAL</t>
  </si>
  <si>
    <t>Part financée par SCSP (FI)</t>
  </si>
  <si>
    <t>Part financée sur ressources propres (FTLV)</t>
  </si>
  <si>
    <t>Lyon 2</t>
  </si>
  <si>
    <t>Partenaire 1</t>
  </si>
  <si>
    <t>Partenaire 2</t>
  </si>
  <si>
    <t>Partenaire 3</t>
  </si>
  <si>
    <t>CHARGES DIRECTES DE PERSONNEL</t>
  </si>
  <si>
    <t>du CA</t>
  </si>
  <si>
    <t>A.1</t>
  </si>
  <si>
    <t>ENSEIGNEMENT DISCIPLINAIRE</t>
  </si>
  <si>
    <t>A. 1.1</t>
  </si>
  <si>
    <t>A. 1.2</t>
  </si>
  <si>
    <t>A. 1.3</t>
  </si>
  <si>
    <t>Vacataires</t>
  </si>
  <si>
    <t>A. 1.4</t>
  </si>
  <si>
    <t>Autres (à définir)</t>
  </si>
  <si>
    <t>TOTAL heures ETD enseignement disciplinaire</t>
  </si>
  <si>
    <t>A.2</t>
  </si>
  <si>
    <t>ACCOMPAGNEMENT</t>
  </si>
  <si>
    <t>A. 2.1</t>
  </si>
  <si>
    <t>Accompagnement projet</t>
  </si>
  <si>
    <t>A. 2.2</t>
  </si>
  <si>
    <t>Suivi mémoires</t>
  </si>
  <si>
    <t>A. 2.3</t>
  </si>
  <si>
    <t>Visite en stage</t>
  </si>
  <si>
    <t>A. 2.4</t>
  </si>
  <si>
    <t>Tutorat alternance</t>
  </si>
  <si>
    <t>A. 2.5</t>
  </si>
  <si>
    <t>Sorties pédagogiques / journées d'étude</t>
  </si>
  <si>
    <t>TOTAL heures accompagnement pédagogique</t>
  </si>
  <si>
    <t>A.3</t>
  </si>
  <si>
    <t>ENCADREMENT ET PILOTAGE DU DIPLÔME</t>
  </si>
  <si>
    <t>A. 3.1</t>
  </si>
  <si>
    <t>Responsabilité diplôme</t>
  </si>
  <si>
    <t>A. 3.2</t>
  </si>
  <si>
    <t>Heures de recrutement (1 / 20 dossiers)</t>
  </si>
  <si>
    <t>A. 3.3</t>
  </si>
  <si>
    <t>TOTAL heures encadrement et pilotage du diplôme</t>
  </si>
  <si>
    <t>Nombre total d'heures intervenants</t>
  </si>
  <si>
    <t>Masse salariale intervenants par apprenant</t>
  </si>
  <si>
    <t>CHARGES DIRECTES DE FONCTIONNEMENT</t>
  </si>
  <si>
    <t>A.60</t>
  </si>
  <si>
    <t>Achat de petits materiels et fournitures</t>
  </si>
  <si>
    <t>A.61.1</t>
  </si>
  <si>
    <t>Indemnités d'occupations des locaux (locations &amp; fluides)</t>
  </si>
  <si>
    <t>A.61.2</t>
  </si>
  <si>
    <t>Autres services extérieurs</t>
  </si>
  <si>
    <t>A.62.1</t>
  </si>
  <si>
    <t>Communication et publicité</t>
  </si>
  <si>
    <t>A.62.2</t>
  </si>
  <si>
    <t>Frais déplacements/restauration globaux</t>
  </si>
  <si>
    <t>A.62.3</t>
  </si>
  <si>
    <t>Frais de deplacements/restauration liés aux visites (stage FI)</t>
  </si>
  <si>
    <t>A.62.4</t>
  </si>
  <si>
    <t>Frais de deplacements/restauration liés aux visites (alternance/FC)</t>
  </si>
  <si>
    <t>A.65</t>
  </si>
  <si>
    <t>Autres charges de gestion courantes</t>
  </si>
  <si>
    <t>A.68</t>
  </si>
  <si>
    <t>Amortissement des biens liés à la formation</t>
  </si>
  <si>
    <t>Charges de fonctionnement par apprenant</t>
  </si>
  <si>
    <t xml:space="preserve">TOTAL DES CHARGES DIRECTES </t>
  </si>
  <si>
    <t>Monant de charges directes par apprenant</t>
  </si>
  <si>
    <t>B</t>
  </si>
  <si>
    <t>CHARGES COMMUNES ET INDIRECTES</t>
  </si>
  <si>
    <t>Montant par apprenant</t>
  </si>
  <si>
    <t>Part financée sur ressources propres</t>
  </si>
  <si>
    <t>CHARGES INDIRECTES DE STOUTIEN</t>
  </si>
  <si>
    <t>B. 1.1</t>
  </si>
  <si>
    <t xml:space="preserve">Appui à la formation tout au long de la vie </t>
  </si>
  <si>
    <t>B. 1.2</t>
  </si>
  <si>
    <t>Appui à la formation</t>
  </si>
  <si>
    <t>B. 1.3</t>
  </si>
  <si>
    <t>Documentation</t>
  </si>
  <si>
    <t>B. 1.4</t>
  </si>
  <si>
    <t>Vie étudiante</t>
  </si>
  <si>
    <t>CHARGES INDIRECTES DE SUPPORT</t>
  </si>
  <si>
    <t>B. 2.1</t>
  </si>
  <si>
    <t>Gouvernance et pilotage</t>
  </si>
  <si>
    <t>B. 2.2</t>
  </si>
  <si>
    <t>Immobilier</t>
  </si>
  <si>
    <t>B.2.3</t>
  </si>
  <si>
    <t>Systèmes d'information et numériques</t>
  </si>
  <si>
    <t xml:space="preserve">TOTAL CHARGES INDIRECTES </t>
  </si>
  <si>
    <t>des dépenses</t>
  </si>
  <si>
    <t>Montant de charges indirectes par apprenant</t>
  </si>
  <si>
    <t xml:space="preserve">TOTAL DES DEPENSES </t>
  </si>
  <si>
    <t>Coût complet par apprenant</t>
  </si>
  <si>
    <t>Coût complet par heure d'enseignement</t>
  </si>
  <si>
    <t>RECETTES</t>
  </si>
  <si>
    <t>C</t>
  </si>
  <si>
    <t>SOURCES DE FINANCEMENT</t>
  </si>
  <si>
    <t>C.1.1</t>
  </si>
  <si>
    <t>Droits d'inscription</t>
  </si>
  <si>
    <t>C.1.2</t>
  </si>
  <si>
    <t>Subventions</t>
  </si>
  <si>
    <t xml:space="preserve">TOTAL DES RECETTES </t>
  </si>
  <si>
    <t>Recette moyenne par apprenant</t>
  </si>
  <si>
    <t>RESULTAT (avant prise en compte de la subvention pour charges de service publique)</t>
  </si>
  <si>
    <t>RESULTAT en valorisant les heures des titulaires au tarif heure complémentaire</t>
  </si>
  <si>
    <t>Types d'heures pour les étudiants</t>
  </si>
  <si>
    <t>Liste des composantes</t>
  </si>
  <si>
    <t>Heures effectives</t>
  </si>
  <si>
    <t>HETD</t>
  </si>
  <si>
    <t>Enseignement disciplinaire</t>
  </si>
  <si>
    <t>Cours magistral</t>
  </si>
  <si>
    <t>ASSP - Anthropologie, Sociologie, Scienes Poliques</t>
  </si>
  <si>
    <t>Travaux dirigés</t>
  </si>
  <si>
    <t>CIEF - Centre International d'Etudes Françaises</t>
  </si>
  <si>
    <t>Travaux pratiques</t>
  </si>
  <si>
    <t>TP</t>
  </si>
  <si>
    <t>FJVD - Faculté de Droit Julie-Victoire Daubié</t>
  </si>
  <si>
    <t>Professionnalisation / recherche</t>
  </si>
  <si>
    <t>Stage (suivi)</t>
  </si>
  <si>
    <t>STSUIV</t>
  </si>
  <si>
    <t>ICOM - Institut de Communication</t>
  </si>
  <si>
    <t>Stage (TD)</t>
  </si>
  <si>
    <t>STTD</t>
  </si>
  <si>
    <t>IETL - Institut d'Etudes du Travail de Lyon</t>
  </si>
  <si>
    <t>Stage (CM)</t>
  </si>
  <si>
    <t>STCM</t>
  </si>
  <si>
    <t>ISPEF - Institut des Sciences et Pratiques d'Education de la Formation</t>
  </si>
  <si>
    <t>Alternance (suivi)</t>
  </si>
  <si>
    <t>IUT - Institut Universitaire de Technologie Lumière</t>
  </si>
  <si>
    <t>Alternance (TD)</t>
  </si>
  <si>
    <t>ALTTD</t>
  </si>
  <si>
    <t>LANG - Langues</t>
  </si>
  <si>
    <t>Alternance (CM)</t>
  </si>
  <si>
    <t>ALTCM</t>
  </si>
  <si>
    <t>LESLA - Lettres, Sciences du Langage et Arts</t>
  </si>
  <si>
    <t>Projet (suivi)</t>
  </si>
  <si>
    <t>PSYCHO - Institut de psychologie</t>
  </si>
  <si>
    <t>Projet (TD)</t>
  </si>
  <si>
    <t>SEG - Sciences Economiques et de Gestion</t>
  </si>
  <si>
    <t>Projet (CM)</t>
  </si>
  <si>
    <t>PROJCM</t>
  </si>
  <si>
    <t>Mémoire de recherche (suivi)</t>
  </si>
  <si>
    <t>Mémoire de recherche (TD)</t>
  </si>
  <si>
    <t>MEMTD</t>
  </si>
  <si>
    <t>Mémoire de recherche (CM)</t>
  </si>
  <si>
    <t>MEMCM</t>
  </si>
  <si>
    <t>Formation à distance</t>
  </si>
  <si>
    <t>FOAD</t>
  </si>
  <si>
    <t>Sortie pédagogique (suivi)</t>
  </si>
  <si>
    <t>SPSUIV</t>
  </si>
  <si>
    <t>Sortie pédagogique (TD)</t>
  </si>
  <si>
    <t>SPTD</t>
  </si>
  <si>
    <t>Sortie pédagogique (CM)</t>
  </si>
  <si>
    <t>SPCM</t>
  </si>
  <si>
    <t>Journée d'étude (suivi)</t>
  </si>
  <si>
    <t>JESUIV</t>
  </si>
  <si>
    <t>Journée d'étude (TD)</t>
  </si>
  <si>
    <t>JETD</t>
  </si>
  <si>
    <t>Journée d'étude (CM)</t>
  </si>
  <si>
    <t>JECM</t>
  </si>
  <si>
    <t>Frais de deplacements/restauration liés aux visites (apprentis)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</si>
</sst>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_-* #,##0.00\ &quot;BF&quot;_-;\-* #,##0.00\ &quot;BF&quot;_-;_-* &quot;-&quot;??\ &quot;BF&quot;_-;_-@_-"/>
    <numFmt numFmtId="167" formatCode="#,##0\ &quot;F&quot;"/>
    <numFmt numFmtId="168" formatCode="_-* #,##0.00\ _B_F_-;\-* #,##0.00\ _B_F_-;_-* &quot;-&quot;??\ _B_F_-;_-@_-"/>
    <numFmt numFmtId="169" formatCode="#,##0\ &quot;€&quot;"/>
    <numFmt numFmtId="170" formatCode="#,##0_ ;\-#,##0\ "/>
    <numFmt numFmtId="171" formatCode="_-* #,##0\ [$€]_-;\-* #,##0\ [$€]_-;_-* &quot;-&quot;??\ [$€]_-;_-@_-"/>
    <numFmt numFmtId="172" formatCode="_-* #,##0\ [$€-803]_-;\-* #,##0\ [$€-803]_-;_-* &quot;-&quot;??\ [$€-803]_-;_-@_-"/>
    <numFmt numFmtId="173" formatCode="#,##0.00_ ;\-#,##0.00\ "/>
    <numFmt numFmtId="174" formatCode="_-* #,##0\ &quot;€&quot;_-;\-* #,##0\ &quot;€&quot;_-;_-* &quot;-&quot;??\ &quot;€&quot;_-;_-@_-"/>
    <numFmt numFmtId="175" formatCode="#,##0.00\ &quot;€&quot;"/>
  </numFmts>
  <fonts count="30">
    <font>
      <sz val="10"/>
      <name val="Arial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6" tint="0.7999816888943144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indexed="62"/>
      <name val="Calibri"/>
      <family val="2"/>
      <scheme val="minor"/>
    </font>
    <font>
      <b/>
      <sz val="10"/>
      <color indexed="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12"/>
      <color rgb="FF00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42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18F8F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rgb="FFF6B8B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7">
    <xf numFmtId="0" fontId="0" fillId="0" borderId="0"/>
    <xf numFmtId="44" fontId="4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2" fillId="0" borderId="0"/>
    <xf numFmtId="166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544">
    <xf numFmtId="0" fontId="0" fillId="0" borderId="0" xfId="0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4" xfId="1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left" vertical="center"/>
    </xf>
    <xf numFmtId="0" fontId="15" fillId="3" borderId="22" xfId="10" applyFont="1" applyFill="1" applyBorder="1" applyAlignment="1">
      <alignment horizontal="center" vertical="center" wrapText="1"/>
    </xf>
    <xf numFmtId="1" fontId="14" fillId="2" borderId="9" xfId="10" applyNumberFormat="1" applyFont="1" applyFill="1" applyBorder="1" applyAlignment="1">
      <alignment horizontal="center" vertical="center" wrapText="1"/>
    </xf>
    <xf numFmtId="0" fontId="16" fillId="7" borderId="10" xfId="10" applyFont="1" applyFill="1" applyBorder="1" applyAlignment="1">
      <alignment vertical="center"/>
    </xf>
    <xf numFmtId="1" fontId="13" fillId="7" borderId="9" xfId="9" applyNumberFormat="1" applyFont="1" applyFill="1" applyBorder="1" applyAlignment="1" applyProtection="1">
      <alignment horizontal="center" vertical="center"/>
    </xf>
    <xf numFmtId="0" fontId="15" fillId="3" borderId="18" xfId="0" applyFont="1" applyFill="1" applyBorder="1" applyAlignment="1">
      <alignment vertical="center"/>
    </xf>
    <xf numFmtId="0" fontId="15" fillId="3" borderId="38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165" fontId="15" fillId="3" borderId="18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1" fontId="13" fillId="7" borderId="48" xfId="12" applyNumberFormat="1" applyFont="1" applyFill="1" applyBorder="1" applyAlignment="1" applyProtection="1">
      <alignment horizontal="center" vertical="center"/>
    </xf>
    <xf numFmtId="165" fontId="13" fillId="4" borderId="44" xfId="12" applyNumberFormat="1" applyFont="1" applyFill="1" applyBorder="1" applyAlignment="1" applyProtection="1">
      <alignment horizontal="center" vertical="center"/>
    </xf>
    <xf numFmtId="0" fontId="17" fillId="6" borderId="37" xfId="10" applyFont="1" applyFill="1" applyBorder="1" applyAlignment="1">
      <alignment horizontal="center" vertical="center"/>
    </xf>
    <xf numFmtId="0" fontId="16" fillId="2" borderId="4" xfId="10" applyFont="1" applyFill="1" applyBorder="1" applyAlignment="1" applyProtection="1">
      <alignment vertical="center"/>
      <protection locked="0"/>
    </xf>
    <xf numFmtId="1" fontId="13" fillId="0" borderId="4" xfId="9" applyNumberFormat="1" applyFont="1" applyBorder="1" applyAlignment="1" applyProtection="1">
      <alignment horizontal="center" vertical="center"/>
      <protection locked="0"/>
    </xf>
    <xf numFmtId="0" fontId="16" fillId="2" borderId="21" xfId="10" applyFont="1" applyFill="1" applyBorder="1" applyAlignment="1" applyProtection="1">
      <alignment vertical="center"/>
      <protection locked="0"/>
    </xf>
    <xf numFmtId="0" fontId="13" fillId="0" borderId="7" xfId="9" applyNumberFormat="1" applyFont="1" applyBorder="1" applyAlignment="1" applyProtection="1">
      <alignment horizontal="center" vertical="center"/>
      <protection locked="0"/>
    </xf>
    <xf numFmtId="0" fontId="15" fillId="3" borderId="18" xfId="0" applyFont="1" applyFill="1" applyBorder="1" applyAlignment="1">
      <alignment horizontal="left" vertical="center"/>
    </xf>
    <xf numFmtId="0" fontId="17" fillId="0" borderId="21" xfId="10" applyFont="1" applyBorder="1" applyAlignment="1" applyProtection="1">
      <alignment horizontal="center" vertical="center"/>
      <protection locked="0"/>
    </xf>
    <xf numFmtId="0" fontId="11" fillId="3" borderId="29" xfId="1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/>
    </xf>
    <xf numFmtId="165" fontId="17" fillId="7" borderId="9" xfId="10" applyNumberFormat="1" applyFont="1" applyFill="1" applyBorder="1" applyAlignment="1">
      <alignment horizontal="center" vertical="center"/>
    </xf>
    <xf numFmtId="165" fontId="15" fillId="3" borderId="12" xfId="0" applyNumberFormat="1" applyFont="1" applyFill="1" applyBorder="1" applyAlignment="1">
      <alignment horizontal="center" vertical="center"/>
    </xf>
    <xf numFmtId="0" fontId="16" fillId="2" borderId="14" xfId="10" applyFont="1" applyFill="1" applyBorder="1" applyAlignment="1" applyProtection="1">
      <alignment vertical="center"/>
      <protection locked="0"/>
    </xf>
    <xf numFmtId="0" fontId="13" fillId="0" borderId="50" xfId="9" applyNumberFormat="1" applyFont="1" applyBorder="1" applyAlignment="1" applyProtection="1">
      <alignment horizontal="center" vertical="center"/>
      <protection locked="0"/>
    </xf>
    <xf numFmtId="0" fontId="13" fillId="7" borderId="8" xfId="9" applyNumberFormat="1" applyFont="1" applyFill="1" applyBorder="1" applyAlignment="1" applyProtection="1">
      <alignment horizontal="center" vertical="center"/>
    </xf>
    <xf numFmtId="0" fontId="15" fillId="3" borderId="27" xfId="10" applyFont="1" applyFill="1" applyBorder="1" applyAlignment="1">
      <alignment horizontal="center" vertical="center" wrapText="1"/>
    </xf>
    <xf numFmtId="0" fontId="15" fillId="3" borderId="52" xfId="10" applyFont="1" applyFill="1" applyBorder="1" applyAlignment="1">
      <alignment horizontal="center" vertical="center" wrapText="1"/>
    </xf>
    <xf numFmtId="0" fontId="17" fillId="6" borderId="61" xfId="10" applyFont="1" applyFill="1" applyBorder="1" applyAlignment="1">
      <alignment horizontal="center" vertical="center"/>
    </xf>
    <xf numFmtId="165" fontId="13" fillId="4" borderId="62" xfId="12" applyNumberFormat="1" applyFont="1" applyFill="1" applyBorder="1" applyAlignment="1" applyProtection="1">
      <alignment horizontal="center" vertical="center"/>
    </xf>
    <xf numFmtId="0" fontId="13" fillId="7" borderId="23" xfId="9" applyNumberFormat="1" applyFont="1" applyFill="1" applyBorder="1" applyAlignment="1" applyProtection="1">
      <alignment horizontal="center" vertical="center"/>
    </xf>
    <xf numFmtId="0" fontId="13" fillId="7" borderId="39" xfId="9" applyNumberFormat="1" applyFont="1" applyFill="1" applyBorder="1" applyAlignment="1" applyProtection="1">
      <alignment horizontal="left" vertical="center"/>
    </xf>
    <xf numFmtId="165" fontId="13" fillId="7" borderId="63" xfId="12" applyNumberFormat="1" applyFont="1" applyFill="1" applyBorder="1" applyAlignment="1" applyProtection="1">
      <alignment horizontal="center" vertical="center"/>
    </xf>
    <xf numFmtId="0" fontId="16" fillId="7" borderId="16" xfId="10" applyFont="1" applyFill="1" applyBorder="1" applyAlignment="1">
      <alignment vertical="center"/>
    </xf>
    <xf numFmtId="0" fontId="17" fillId="7" borderId="51" xfId="10" applyFont="1" applyFill="1" applyBorder="1" applyAlignment="1">
      <alignment horizontal="center" vertical="center"/>
    </xf>
    <xf numFmtId="1" fontId="15" fillId="3" borderId="12" xfId="0" applyNumberFormat="1" applyFont="1" applyFill="1" applyBorder="1" applyAlignment="1">
      <alignment horizontal="center" vertical="center"/>
    </xf>
    <xf numFmtId="0" fontId="15" fillId="3" borderId="60" xfId="1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7" fontId="8" fillId="2" borderId="0" xfId="14" applyNumberFormat="1" applyFont="1" applyFill="1" applyAlignment="1" applyProtection="1">
      <alignment vertical="center"/>
    </xf>
    <xf numFmtId="167" fontId="8" fillId="2" borderId="0" xfId="14" applyNumberFormat="1" applyFont="1" applyFill="1" applyAlignment="1" applyProtection="1">
      <alignment horizontal="center"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8" borderId="4" xfId="15" applyNumberFormat="1" applyFont="1" applyFill="1" applyBorder="1" applyAlignment="1" applyProtection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8" fillId="8" borderId="4" xfId="15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>
      <alignment vertical="center"/>
    </xf>
    <xf numFmtId="169" fontId="9" fillId="2" borderId="4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 applyProtection="1">
      <alignment horizontal="right" vertical="center"/>
      <protection locked="0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8" fillId="2" borderId="16" xfId="0" applyFont="1" applyFill="1" applyBorder="1" applyAlignment="1">
      <alignment horizontal="center" vertical="center"/>
    </xf>
    <xf numFmtId="169" fontId="8" fillId="8" borderId="4" xfId="0" applyNumberFormat="1" applyFont="1" applyFill="1" applyBorder="1" applyAlignment="1" applyProtection="1">
      <alignment vertical="center"/>
      <protection locked="0"/>
    </xf>
    <xf numFmtId="0" fontId="8" fillId="2" borderId="4" xfId="0" applyFont="1" applyFill="1" applyBorder="1" applyAlignment="1">
      <alignment horizontal="center" vertical="center"/>
    </xf>
    <xf numFmtId="169" fontId="8" fillId="2" borderId="4" xfId="0" applyNumberFormat="1" applyFont="1" applyFill="1" applyBorder="1" applyAlignment="1">
      <alignment vertical="center"/>
    </xf>
    <xf numFmtId="169" fontId="8" fillId="10" borderId="3" xfId="0" applyNumberFormat="1" applyFont="1" applyFill="1" applyBorder="1" applyAlignment="1">
      <alignment vertical="center"/>
    </xf>
    <xf numFmtId="169" fontId="8" fillId="10" borderId="10" xfId="0" applyNumberFormat="1" applyFont="1" applyFill="1" applyBorder="1" applyAlignment="1">
      <alignment vertical="center"/>
    </xf>
    <xf numFmtId="169" fontId="8" fillId="10" borderId="16" xfId="0" applyNumberFormat="1" applyFont="1" applyFill="1" applyBorder="1" applyAlignment="1">
      <alignment vertical="center"/>
    </xf>
    <xf numFmtId="169" fontId="8" fillId="10" borderId="48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0" fontId="8" fillId="8" borderId="4" xfId="0" applyFont="1" applyFill="1" applyBorder="1" applyAlignment="1" applyProtection="1">
      <alignment vertical="center"/>
      <protection locked="0"/>
    </xf>
    <xf numFmtId="9" fontId="8" fillId="8" borderId="4" xfId="12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>
      <alignment vertical="center"/>
    </xf>
    <xf numFmtId="0" fontId="8" fillId="8" borderId="21" xfId="0" applyFont="1" applyFill="1" applyBorder="1" applyAlignment="1" applyProtection="1">
      <alignment vertical="center"/>
      <protection locked="0"/>
    </xf>
    <xf numFmtId="169" fontId="8" fillId="8" borderId="21" xfId="0" applyNumberFormat="1" applyFont="1" applyFill="1" applyBorder="1" applyAlignment="1" applyProtection="1">
      <alignment vertical="center"/>
      <protection locked="0"/>
    </xf>
    <xf numFmtId="0" fontId="9" fillId="2" borderId="3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vertical="center"/>
    </xf>
    <xf numFmtId="169" fontId="9" fillId="2" borderId="36" xfId="0" applyNumberFormat="1" applyFont="1" applyFill="1" applyBorder="1" applyAlignment="1">
      <alignment vertical="center"/>
    </xf>
    <xf numFmtId="169" fontId="9" fillId="2" borderId="9" xfId="0" applyNumberFormat="1" applyFont="1" applyFill="1" applyBorder="1" applyAlignment="1">
      <alignment vertical="center"/>
    </xf>
    <xf numFmtId="169" fontId="9" fillId="2" borderId="0" xfId="0" applyNumberFormat="1" applyFont="1" applyFill="1" applyAlignment="1">
      <alignment vertical="center"/>
    </xf>
    <xf numFmtId="0" fontId="10" fillId="3" borderId="30" xfId="0" applyFont="1" applyFill="1" applyBorder="1" applyAlignment="1">
      <alignment horizontal="center" vertical="center" wrapText="1"/>
    </xf>
    <xf numFmtId="169" fontId="9" fillId="0" borderId="9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67" fontId="8" fillId="0" borderId="0" xfId="14" applyNumberFormat="1" applyFont="1" applyAlignment="1" applyProtection="1">
      <alignment vertical="center"/>
    </xf>
    <xf numFmtId="167" fontId="8" fillId="0" borderId="0" xfId="14" applyNumberFormat="1" applyFont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4" xfId="15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 wrapText="1"/>
    </xf>
    <xf numFmtId="170" fontId="22" fillId="0" borderId="0" xfId="15" applyNumberFormat="1" applyFont="1" applyFill="1" applyBorder="1" applyAlignment="1" applyProtection="1">
      <alignment horizontal="center" vertical="center"/>
    </xf>
    <xf numFmtId="164" fontId="22" fillId="0" borderId="0" xfId="0" applyNumberFormat="1" applyFont="1" applyAlignment="1">
      <alignment horizontal="right" vertical="center"/>
    </xf>
    <xf numFmtId="171" fontId="8" fillId="2" borderId="0" xfId="0" applyNumberFormat="1" applyFont="1" applyFill="1" applyAlignment="1">
      <alignment horizontal="center" vertical="center"/>
    </xf>
    <xf numFmtId="0" fontId="10" fillId="3" borderId="19" xfId="0" applyFont="1" applyFill="1" applyBorder="1" applyAlignment="1">
      <alignment vertical="center"/>
    </xf>
    <xf numFmtId="0" fontId="10" fillId="3" borderId="18" xfId="0" applyFont="1" applyFill="1" applyBorder="1" applyAlignment="1">
      <alignment vertical="center"/>
    </xf>
    <xf numFmtId="0" fontId="10" fillId="3" borderId="34" xfId="0" applyFont="1" applyFill="1" applyBorder="1" applyAlignment="1">
      <alignment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167" fontId="9" fillId="2" borderId="30" xfId="14" applyNumberFormat="1" applyFont="1" applyFill="1" applyBorder="1" applyAlignment="1" applyProtection="1">
      <alignment horizontal="center" vertical="center" wrapText="1"/>
    </xf>
    <xf numFmtId="167" fontId="9" fillId="2" borderId="12" xfId="14" applyNumberFormat="1" applyFont="1" applyFill="1" applyBorder="1" applyAlignment="1" applyProtection="1">
      <alignment horizontal="center" vertical="center" wrapText="1"/>
    </xf>
    <xf numFmtId="167" fontId="9" fillId="2" borderId="34" xfId="14" applyNumberFormat="1" applyFont="1" applyFill="1" applyBorder="1" applyAlignment="1" applyProtection="1">
      <alignment horizontal="center" vertical="center" wrapText="1"/>
    </xf>
    <xf numFmtId="167" fontId="9" fillId="2" borderId="25" xfId="14" applyNumberFormat="1" applyFont="1" applyFill="1" applyBorder="1" applyAlignment="1" applyProtection="1">
      <alignment horizontal="center" vertical="center" wrapText="1"/>
      <protection locked="0"/>
    </xf>
    <xf numFmtId="167" fontId="9" fillId="2" borderId="12" xfId="14" applyNumberFormat="1" applyFont="1" applyFill="1" applyBorder="1" applyAlignment="1" applyProtection="1">
      <alignment horizontal="center" vertical="center" wrapText="1"/>
      <protection locked="0"/>
    </xf>
    <xf numFmtId="167" fontId="9" fillId="2" borderId="15" xfId="14" applyNumberFormat="1" applyFont="1" applyFill="1" applyBorder="1" applyAlignment="1" applyProtection="1">
      <alignment horizontal="center" vertical="center" wrapText="1"/>
      <protection locked="0"/>
    </xf>
    <xf numFmtId="167" fontId="9" fillId="2" borderId="32" xfId="14" applyNumberFormat="1" applyFont="1" applyFill="1" applyBorder="1" applyAlignment="1" applyProtection="1">
      <alignment horizontal="center" vertical="center" wrapText="1"/>
    </xf>
    <xf numFmtId="167" fontId="9" fillId="2" borderId="24" xfId="14" applyNumberFormat="1" applyFont="1" applyFill="1" applyBorder="1" applyAlignment="1" applyProtection="1">
      <alignment horizontal="center" vertical="center" wrapText="1"/>
    </xf>
    <xf numFmtId="167" fontId="9" fillId="2" borderId="0" xfId="14" applyNumberFormat="1" applyFont="1" applyFill="1" applyBorder="1" applyAlignment="1" applyProtection="1">
      <alignment horizontal="center" vertical="center" wrapText="1"/>
      <protection locked="0"/>
    </xf>
    <xf numFmtId="0" fontId="9" fillId="5" borderId="19" xfId="0" applyFont="1" applyFill="1" applyBorder="1" applyAlignment="1">
      <alignment vertical="center"/>
    </xf>
    <xf numFmtId="0" fontId="9" fillId="5" borderId="17" xfId="0" applyFont="1" applyFill="1" applyBorder="1" applyAlignment="1">
      <alignment vertical="center"/>
    </xf>
    <xf numFmtId="0" fontId="9" fillId="5" borderId="18" xfId="0" applyFont="1" applyFill="1" applyBorder="1" applyAlignment="1">
      <alignment vertical="center"/>
    </xf>
    <xf numFmtId="0" fontId="9" fillId="5" borderId="12" xfId="0" applyFont="1" applyFill="1" applyBorder="1" applyAlignment="1">
      <alignment horizontal="center" vertical="center"/>
    </xf>
    <xf numFmtId="172" fontId="9" fillId="5" borderId="12" xfId="0" applyNumberFormat="1" applyFont="1" applyFill="1" applyBorder="1" applyAlignment="1">
      <alignment vertical="center"/>
    </xf>
    <xf numFmtId="172" fontId="9" fillId="5" borderId="18" xfId="0" applyNumberFormat="1" applyFont="1" applyFill="1" applyBorder="1" applyAlignment="1">
      <alignment vertical="center"/>
    </xf>
    <xf numFmtId="172" fontId="9" fillId="5" borderId="17" xfId="0" applyNumberFormat="1" applyFont="1" applyFill="1" applyBorder="1" applyAlignment="1">
      <alignment vertical="center"/>
    </xf>
    <xf numFmtId="172" fontId="9" fillId="5" borderId="32" xfId="0" applyNumberFormat="1" applyFont="1" applyFill="1" applyBorder="1" applyAlignment="1">
      <alignment vertical="center"/>
    </xf>
    <xf numFmtId="172" fontId="9" fillId="5" borderId="11" xfId="0" applyNumberFormat="1" applyFont="1" applyFill="1" applyBorder="1" applyAlignment="1">
      <alignment vertical="center"/>
    </xf>
    <xf numFmtId="9" fontId="9" fillId="2" borderId="1" xfId="0" applyNumberFormat="1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 applyProtection="1">
      <alignment horizontal="left" vertical="center"/>
      <protection locked="0"/>
    </xf>
    <xf numFmtId="1" fontId="9" fillId="2" borderId="50" xfId="15" applyNumberFormat="1" applyFont="1" applyFill="1" applyBorder="1" applyAlignment="1" applyProtection="1">
      <alignment horizontal="left" vertical="center"/>
    </xf>
    <xf numFmtId="0" fontId="9" fillId="0" borderId="67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55" xfId="0" applyFont="1" applyBorder="1" applyAlignment="1">
      <alignment vertical="center"/>
    </xf>
    <xf numFmtId="173" fontId="9" fillId="0" borderId="55" xfId="0" applyNumberFormat="1" applyFont="1" applyBorder="1" applyAlignment="1">
      <alignment horizontal="center" vertical="center" wrapText="1"/>
    </xf>
    <xf numFmtId="174" fontId="9" fillId="0" borderId="55" xfId="16" applyNumberFormat="1" applyFont="1" applyFill="1" applyBorder="1" applyAlignment="1" applyProtection="1">
      <alignment vertical="center" wrapText="1"/>
    </xf>
    <xf numFmtId="174" fontId="9" fillId="0" borderId="61" xfId="16" applyNumberFormat="1" applyFont="1" applyFill="1" applyBorder="1" applyAlignment="1" applyProtection="1">
      <alignment vertical="center" wrapText="1"/>
    </xf>
    <xf numFmtId="174" fontId="9" fillId="0" borderId="54" xfId="16" applyNumberFormat="1" applyFont="1" applyFill="1" applyBorder="1" applyAlignment="1" applyProtection="1">
      <alignment vertical="center" wrapText="1"/>
    </xf>
    <xf numFmtId="171" fontId="24" fillId="2" borderId="0" xfId="0" applyNumberFormat="1" applyFont="1" applyFill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1" fontId="8" fillId="2" borderId="13" xfId="15" applyNumberFormat="1" applyFont="1" applyFill="1" applyBorder="1" applyAlignment="1" applyProtection="1">
      <alignment horizontal="left" vertical="center"/>
    </xf>
    <xf numFmtId="0" fontId="8" fillId="2" borderId="5" xfId="15" applyNumberFormat="1" applyFont="1" applyFill="1" applyBorder="1" applyAlignment="1" applyProtection="1">
      <alignment horizontal="center" vertical="center"/>
    </xf>
    <xf numFmtId="171" fontId="8" fillId="2" borderId="5" xfId="0" applyNumberFormat="1" applyFont="1" applyFill="1" applyBorder="1" applyAlignment="1">
      <alignment horizontal="center" vertical="center"/>
    </xf>
    <xf numFmtId="171" fontId="8" fillId="0" borderId="5" xfId="0" applyNumberFormat="1" applyFont="1" applyBorder="1" applyAlignment="1">
      <alignment horizontal="center" vertical="center"/>
    </xf>
    <xf numFmtId="171" fontId="8" fillId="0" borderId="37" xfId="0" applyNumberFormat="1" applyFont="1" applyBorder="1" applyAlignment="1">
      <alignment horizontal="center" vertical="center"/>
    </xf>
    <xf numFmtId="171" fontId="8" fillId="8" borderId="4" xfId="15" applyNumberFormat="1" applyFont="1" applyFill="1" applyBorder="1" applyAlignment="1" applyProtection="1">
      <alignment horizontal="center" vertical="center"/>
      <protection locked="0"/>
    </xf>
    <xf numFmtId="171" fontId="8" fillId="0" borderId="35" xfId="0" applyNumberFormat="1" applyFont="1" applyBorder="1" applyAlignment="1">
      <alignment horizontal="center" vertical="center"/>
    </xf>
    <xf numFmtId="1" fontId="18" fillId="2" borderId="0" xfId="0" applyNumberFormat="1" applyFont="1" applyFill="1" applyAlignment="1">
      <alignment vertical="center"/>
    </xf>
    <xf numFmtId="1" fontId="18" fillId="0" borderId="0" xfId="0" applyNumberFormat="1" applyFont="1" applyAlignment="1">
      <alignment vertical="center"/>
    </xf>
    <xf numFmtId="171" fontId="8" fillId="0" borderId="4" xfId="0" applyNumberFormat="1" applyFont="1" applyBorder="1" applyAlignment="1">
      <alignment horizontal="center" vertical="center"/>
    </xf>
    <xf numFmtId="171" fontId="8" fillId="0" borderId="33" xfId="0" applyNumberFormat="1" applyFont="1" applyBorder="1" applyAlignment="1">
      <alignment horizontal="center" vertical="center"/>
    </xf>
    <xf numFmtId="44" fontId="8" fillId="8" borderId="4" xfId="15" applyNumberFormat="1" applyFont="1" applyFill="1" applyBorder="1" applyAlignment="1" applyProtection="1">
      <alignment horizontal="right" vertical="center"/>
      <protection locked="0"/>
    </xf>
    <xf numFmtId="174" fontId="8" fillId="8" borderId="4" xfId="15" applyNumberFormat="1" applyFont="1" applyFill="1" applyBorder="1" applyAlignment="1" applyProtection="1">
      <alignment horizontal="center" vertical="center"/>
      <protection locked="0"/>
    </xf>
    <xf numFmtId="0" fontId="9" fillId="7" borderId="9" xfId="0" applyFont="1" applyFill="1" applyBorder="1" applyAlignment="1">
      <alignment horizontal="center" vertical="center"/>
    </xf>
    <xf numFmtId="174" fontId="9" fillId="7" borderId="9" xfId="0" applyNumberFormat="1" applyFont="1" applyFill="1" applyBorder="1" applyAlignment="1">
      <alignment vertical="center"/>
    </xf>
    <xf numFmtId="171" fontId="9" fillId="7" borderId="41" xfId="0" applyNumberFormat="1" applyFont="1" applyFill="1" applyBorder="1" applyAlignment="1">
      <alignment horizontal="center" vertical="center"/>
    </xf>
    <xf numFmtId="171" fontId="9" fillId="7" borderId="36" xfId="0" applyNumberFormat="1" applyFont="1" applyFill="1" applyBorder="1" applyAlignment="1">
      <alignment horizontal="center" vertical="center"/>
    </xf>
    <xf numFmtId="171" fontId="9" fillId="7" borderId="39" xfId="0" applyNumberFormat="1" applyFont="1" applyFill="1" applyBorder="1" applyAlignment="1">
      <alignment horizontal="center" vertical="center"/>
    </xf>
    <xf numFmtId="171" fontId="9" fillId="7" borderId="20" xfId="0" applyNumberFormat="1" applyFont="1" applyFill="1" applyBorder="1" applyAlignment="1">
      <alignment horizontal="center" vertical="center"/>
    </xf>
    <xf numFmtId="171" fontId="9" fillId="2" borderId="0" xfId="0" applyNumberFormat="1" applyFont="1" applyFill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171" fontId="9" fillId="7" borderId="8" xfId="0" applyNumberFormat="1" applyFont="1" applyFill="1" applyBorder="1" applyAlignment="1">
      <alignment horizontal="center" vertical="center"/>
    </xf>
    <xf numFmtId="171" fontId="9" fillId="7" borderId="23" xfId="0" applyNumberFormat="1" applyFont="1" applyFill="1" applyBorder="1" applyAlignment="1">
      <alignment horizontal="center" vertical="center"/>
    </xf>
    <xf numFmtId="171" fontId="9" fillId="7" borderId="9" xfId="0" applyNumberFormat="1" applyFont="1" applyFill="1" applyBorder="1" applyAlignment="1">
      <alignment horizontal="center" vertical="center"/>
    </xf>
    <xf numFmtId="1" fontId="9" fillId="2" borderId="13" xfId="15" applyNumberFormat="1" applyFont="1" applyFill="1" applyBorder="1" applyAlignment="1" applyProtection="1">
      <alignment horizontal="left" vertical="center"/>
    </xf>
    <xf numFmtId="0" fontId="9" fillId="0" borderId="68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173" fontId="9" fillId="0" borderId="24" xfId="0" applyNumberFormat="1" applyFont="1" applyBorder="1" applyAlignment="1">
      <alignment horizontal="center" vertical="center" wrapText="1"/>
    </xf>
    <xf numFmtId="174" fontId="9" fillId="0" borderId="24" xfId="16" applyNumberFormat="1" applyFont="1" applyFill="1" applyBorder="1" applyAlignment="1" applyProtection="1">
      <alignment vertical="center" wrapText="1"/>
    </xf>
    <xf numFmtId="174" fontId="9" fillId="0" borderId="37" xfId="16" applyNumberFormat="1" applyFont="1" applyFill="1" applyBorder="1" applyAlignment="1" applyProtection="1">
      <alignment vertical="center" wrapText="1"/>
    </xf>
    <xf numFmtId="174" fontId="9" fillId="0" borderId="25" xfId="16" applyNumberFormat="1" applyFont="1" applyFill="1" applyBorder="1" applyAlignment="1" applyProtection="1">
      <alignment vertical="center" wrapText="1"/>
    </xf>
    <xf numFmtId="174" fontId="9" fillId="0" borderId="15" xfId="16" applyNumberFormat="1" applyFont="1" applyFill="1" applyBorder="1" applyAlignment="1" applyProtection="1">
      <alignment vertical="center" wrapText="1"/>
    </xf>
    <xf numFmtId="174" fontId="9" fillId="0" borderId="42" xfId="16" applyNumberFormat="1" applyFont="1" applyFill="1" applyBorder="1" applyAlignment="1" applyProtection="1">
      <alignment vertical="center" wrapText="1"/>
    </xf>
    <xf numFmtId="1" fontId="25" fillId="2" borderId="0" xfId="0" applyNumberFormat="1" applyFont="1" applyFill="1" applyAlignment="1">
      <alignment vertical="center"/>
    </xf>
    <xf numFmtId="1" fontId="8" fillId="2" borderId="0" xfId="0" applyNumberFormat="1" applyFont="1" applyFill="1" applyAlignment="1">
      <alignment vertical="center"/>
    </xf>
    <xf numFmtId="1" fontId="25" fillId="0" borderId="0" xfId="0" applyNumberFormat="1" applyFont="1" applyAlignment="1">
      <alignment vertical="center"/>
    </xf>
    <xf numFmtId="174" fontId="8" fillId="0" borderId="4" xfId="0" applyNumberFormat="1" applyFont="1" applyBorder="1" applyAlignment="1">
      <alignment vertical="center"/>
    </xf>
    <xf numFmtId="171" fontId="8" fillId="8" borderId="7" xfId="15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8" fillId="8" borderId="21" xfId="15" applyNumberFormat="1" applyFont="1" applyFill="1" applyBorder="1" applyAlignment="1" applyProtection="1">
      <alignment horizontal="center" vertical="center"/>
      <protection locked="0"/>
    </xf>
    <xf numFmtId="174" fontId="8" fillId="0" borderId="21" xfId="0" applyNumberFormat="1" applyFont="1" applyBorder="1" applyAlignment="1">
      <alignment vertical="center"/>
    </xf>
    <xf numFmtId="0" fontId="8" fillId="8" borderId="7" xfId="15" applyNumberFormat="1" applyFont="1" applyFill="1" applyBorder="1" applyAlignment="1" applyProtection="1">
      <alignment horizontal="center" vertical="center"/>
      <protection locked="0"/>
    </xf>
    <xf numFmtId="0" fontId="9" fillId="7" borderId="21" xfId="0" applyFont="1" applyFill="1" applyBorder="1" applyAlignment="1">
      <alignment horizontal="center" vertical="center"/>
    </xf>
    <xf numFmtId="174" fontId="9" fillId="7" borderId="21" xfId="0" applyNumberFormat="1" applyFont="1" applyFill="1" applyBorder="1" applyAlignment="1">
      <alignment vertical="center"/>
    </xf>
    <xf numFmtId="174" fontId="9" fillId="7" borderId="59" xfId="0" applyNumberFormat="1" applyFont="1" applyFill="1" applyBorder="1" applyAlignment="1">
      <alignment vertical="center"/>
    </xf>
    <xf numFmtId="0" fontId="8" fillId="2" borderId="54" xfId="0" applyFont="1" applyFill="1" applyBorder="1" applyAlignment="1">
      <alignment vertical="center"/>
    </xf>
    <xf numFmtId="0" fontId="8" fillId="2" borderId="55" xfId="0" applyFont="1" applyFill="1" applyBorder="1" applyAlignment="1">
      <alignment horizontal="right" vertical="center" wrapText="1"/>
    </xf>
    <xf numFmtId="0" fontId="22" fillId="0" borderId="55" xfId="0" applyFont="1" applyBorder="1" applyAlignment="1">
      <alignment vertical="center"/>
    </xf>
    <xf numFmtId="0" fontId="9" fillId="2" borderId="55" xfId="0" applyFont="1" applyFill="1" applyBorder="1" applyAlignment="1">
      <alignment vertical="center" wrapText="1"/>
    </xf>
    <xf numFmtId="0" fontId="9" fillId="2" borderId="40" xfId="0" applyFont="1" applyFill="1" applyBorder="1" applyAlignment="1">
      <alignment horizontal="right" vertical="center"/>
    </xf>
    <xf numFmtId="1" fontId="8" fillId="0" borderId="22" xfId="0" applyNumberFormat="1" applyFont="1" applyBorder="1" applyAlignment="1">
      <alignment horizontal="center" vertical="center"/>
    </xf>
    <xf numFmtId="1" fontId="8" fillId="0" borderId="53" xfId="0" applyNumberFormat="1" applyFont="1" applyBorder="1" applyAlignment="1">
      <alignment horizontal="center" vertical="center"/>
    </xf>
    <xf numFmtId="171" fontId="9" fillId="2" borderId="0" xfId="0" applyNumberFormat="1" applyFont="1" applyFill="1" applyAlignment="1">
      <alignment horizontal="center" vertical="center"/>
    </xf>
    <xf numFmtId="49" fontId="25" fillId="2" borderId="0" xfId="0" applyNumberFormat="1" applyFont="1" applyFill="1" applyAlignment="1" applyProtection="1">
      <alignment horizontal="left" vertical="center"/>
      <protection locked="0"/>
    </xf>
    <xf numFmtId="0" fontId="25" fillId="0" borderId="0" xfId="0" applyFont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0" fontId="8" fillId="2" borderId="52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right" vertical="center" wrapText="1"/>
    </xf>
    <xf numFmtId="0" fontId="22" fillId="0" borderId="23" xfId="0" applyFont="1" applyBorder="1" applyAlignment="1">
      <alignment vertical="center"/>
    </xf>
    <xf numFmtId="0" fontId="9" fillId="2" borderId="23" xfId="0" applyFont="1" applyFill="1" applyBorder="1" applyAlignment="1">
      <alignment vertical="center" wrapText="1"/>
    </xf>
    <xf numFmtId="0" fontId="9" fillId="2" borderId="41" xfId="0" applyFont="1" applyFill="1" applyBorder="1" applyAlignment="1">
      <alignment horizontal="right" vertical="center"/>
    </xf>
    <xf numFmtId="171" fontId="9" fillId="2" borderId="23" xfId="0" applyNumberFormat="1" applyFont="1" applyFill="1" applyBorder="1" applyAlignment="1">
      <alignment horizontal="center" vertical="center"/>
    </xf>
    <xf numFmtId="171" fontId="9" fillId="2" borderId="36" xfId="0" applyNumberFormat="1" applyFont="1" applyFill="1" applyBorder="1" applyAlignment="1">
      <alignment horizontal="center" vertical="center"/>
    </xf>
    <xf numFmtId="171" fontId="9" fillId="2" borderId="56" xfId="0" applyNumberFormat="1" applyFont="1" applyFill="1" applyBorder="1" applyAlignment="1">
      <alignment horizontal="center" vertical="center"/>
    </xf>
    <xf numFmtId="0" fontId="9" fillId="5" borderId="52" xfId="0" applyFont="1" applyFill="1" applyBorder="1" applyAlignment="1">
      <alignment vertical="center"/>
    </xf>
    <xf numFmtId="0" fontId="9" fillId="5" borderId="70" xfId="0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9" fillId="5" borderId="41" xfId="0" applyFont="1" applyFill="1" applyBorder="1" applyAlignment="1">
      <alignment vertical="center"/>
    </xf>
    <xf numFmtId="172" fontId="9" fillId="5" borderId="23" xfId="0" applyNumberFormat="1" applyFont="1" applyFill="1" applyBorder="1" applyAlignment="1">
      <alignment vertical="center"/>
    </xf>
    <xf numFmtId="172" fontId="9" fillId="5" borderId="70" xfId="0" applyNumberFormat="1" applyFont="1" applyFill="1" applyBorder="1" applyAlignment="1">
      <alignment vertical="center"/>
    </xf>
    <xf numFmtId="172" fontId="9" fillId="5" borderId="56" xfId="0" applyNumberFormat="1" applyFont="1" applyFill="1" applyBorder="1" applyAlignment="1">
      <alignment vertical="center"/>
    </xf>
    <xf numFmtId="172" fontId="9" fillId="5" borderId="34" xfId="0" applyNumberFormat="1" applyFont="1" applyFill="1" applyBorder="1" applyAlignment="1">
      <alignment vertical="center"/>
    </xf>
    <xf numFmtId="0" fontId="8" fillId="2" borderId="50" xfId="0" applyFont="1" applyFill="1" applyBorder="1" applyAlignment="1">
      <alignment vertical="center"/>
    </xf>
    <xf numFmtId="49" fontId="8" fillId="0" borderId="60" xfId="0" applyNumberFormat="1" applyFont="1" applyBorder="1" applyAlignment="1">
      <alignment vertical="center"/>
    </xf>
    <xf numFmtId="49" fontId="8" fillId="0" borderId="55" xfId="0" applyNumberFormat="1" applyFont="1" applyBorder="1" applyAlignment="1">
      <alignment vertical="center"/>
    </xf>
    <xf numFmtId="171" fontId="8" fillId="8" borderId="22" xfId="0" applyNumberFormat="1" applyFont="1" applyFill="1" applyBorder="1" applyAlignment="1" applyProtection="1">
      <alignment vertical="center"/>
      <protection locked="0"/>
    </xf>
    <xf numFmtId="171" fontId="8" fillId="2" borderId="22" xfId="0" applyNumberFormat="1" applyFont="1" applyFill="1" applyBorder="1" applyAlignment="1">
      <alignment horizontal="center" vertical="center"/>
    </xf>
    <xf numFmtId="171" fontId="8" fillId="2" borderId="61" xfId="0" applyNumberFormat="1" applyFont="1" applyFill="1" applyBorder="1" applyAlignment="1">
      <alignment horizontal="center" vertical="center"/>
    </xf>
    <xf numFmtId="171" fontId="8" fillId="8" borderId="50" xfId="15" applyNumberFormat="1" applyFont="1" applyFill="1" applyBorder="1" applyAlignment="1" applyProtection="1">
      <alignment horizontal="center" vertical="center"/>
      <protection locked="0"/>
    </xf>
    <xf numFmtId="171" fontId="8" fillId="8" borderId="22" xfId="15" applyNumberFormat="1" applyFont="1" applyFill="1" applyBorder="1" applyAlignment="1" applyProtection="1">
      <alignment horizontal="center" vertical="center"/>
      <protection locked="0"/>
    </xf>
    <xf numFmtId="171" fontId="8" fillId="8" borderId="40" xfId="15" applyNumberFormat="1" applyFont="1" applyFill="1" applyBorder="1" applyAlignment="1" applyProtection="1">
      <alignment horizontal="center" vertical="center"/>
      <protection locked="0"/>
    </xf>
    <xf numFmtId="171" fontId="8" fillId="0" borderId="53" xfId="0" applyNumberFormat="1" applyFont="1" applyBorder="1" applyAlignment="1">
      <alignment horizontal="center" vertical="center"/>
    </xf>
    <xf numFmtId="171" fontId="8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 applyProtection="1">
      <alignment horizontal="left" vertical="center"/>
      <protection locked="0"/>
    </xf>
    <xf numFmtId="49" fontId="8" fillId="0" borderId="3" xfId="0" applyNumberFormat="1" applyFont="1" applyBorder="1" applyAlignment="1">
      <alignment vertical="center"/>
    </xf>
    <xf numFmtId="49" fontId="8" fillId="0" borderId="1" xfId="0" applyNumberFormat="1" applyFont="1" applyBorder="1" applyAlignment="1">
      <alignment vertical="center"/>
    </xf>
    <xf numFmtId="171" fontId="8" fillId="8" borderId="4" xfId="0" applyNumberFormat="1" applyFont="1" applyFill="1" applyBorder="1" applyAlignment="1" applyProtection="1">
      <alignment vertical="center"/>
      <protection locked="0"/>
    </xf>
    <xf numFmtId="171" fontId="8" fillId="2" borderId="37" xfId="0" applyNumberFormat="1" applyFont="1" applyFill="1" applyBorder="1" applyAlignment="1">
      <alignment horizontal="center" vertical="center"/>
    </xf>
    <xf numFmtId="171" fontId="8" fillId="8" borderId="2" xfId="15" applyNumberFormat="1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vertical="center"/>
    </xf>
    <xf numFmtId="0" fontId="8" fillId="0" borderId="66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171" fontId="8" fillId="8" borderId="9" xfId="0" applyNumberFormat="1" applyFont="1" applyFill="1" applyBorder="1" applyAlignment="1" applyProtection="1">
      <alignment vertical="center"/>
      <protection locked="0"/>
    </xf>
    <xf numFmtId="171" fontId="8" fillId="2" borderId="36" xfId="0" applyNumberFormat="1" applyFont="1" applyFill="1" applyBorder="1" applyAlignment="1">
      <alignment horizontal="center" vertical="center"/>
    </xf>
    <xf numFmtId="171" fontId="8" fillId="2" borderId="39" xfId="0" applyNumberFormat="1" applyFont="1" applyFill="1" applyBorder="1" applyAlignment="1">
      <alignment horizontal="center" vertical="center"/>
    </xf>
    <xf numFmtId="171" fontId="8" fillId="8" borderId="8" xfId="15" applyNumberFormat="1" applyFont="1" applyFill="1" applyBorder="1" applyAlignment="1" applyProtection="1">
      <alignment horizontal="center" vertical="center"/>
      <protection locked="0"/>
    </xf>
    <xf numFmtId="171" fontId="8" fillId="8" borderId="9" xfId="15" applyNumberFormat="1" applyFont="1" applyFill="1" applyBorder="1" applyAlignment="1" applyProtection="1">
      <alignment horizontal="center" vertical="center"/>
      <protection locked="0"/>
    </xf>
    <xf numFmtId="171" fontId="8" fillId="8" borderId="16" xfId="15" applyNumberFormat="1" applyFont="1" applyFill="1" applyBorder="1" applyAlignment="1" applyProtection="1">
      <alignment horizontal="center" vertical="center"/>
      <protection locked="0"/>
    </xf>
    <xf numFmtId="171" fontId="8" fillId="0" borderId="51" xfId="0" applyNumberFormat="1" applyFont="1" applyBorder="1" applyAlignment="1">
      <alignment horizontal="center" vertical="center"/>
    </xf>
    <xf numFmtId="0" fontId="8" fillId="2" borderId="26" xfId="0" applyFont="1" applyFill="1" applyBorder="1" applyAlignment="1">
      <alignment vertical="center"/>
    </xf>
    <xf numFmtId="0" fontId="8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vertical="center" wrapText="1"/>
    </xf>
    <xf numFmtId="171" fontId="9" fillId="2" borderId="12" xfId="0" applyNumberFormat="1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vertical="center"/>
    </xf>
    <xf numFmtId="171" fontId="9" fillId="5" borderId="12" xfId="0" applyNumberFormat="1" applyFont="1" applyFill="1" applyBorder="1" applyAlignment="1">
      <alignment horizontal="right" vertical="center"/>
    </xf>
    <xf numFmtId="171" fontId="9" fillId="5" borderId="32" xfId="0" applyNumberFormat="1" applyFont="1" applyFill="1" applyBorder="1" applyAlignment="1">
      <alignment horizontal="right" vertical="center"/>
    </xf>
    <xf numFmtId="171" fontId="9" fillId="5" borderId="17" xfId="0" applyNumberFormat="1" applyFont="1" applyFill="1" applyBorder="1" applyAlignment="1">
      <alignment horizontal="right" vertical="center"/>
    </xf>
    <xf numFmtId="9" fontId="9" fillId="2" borderId="49" xfId="0" applyNumberFormat="1" applyFont="1" applyFill="1" applyBorder="1" applyAlignment="1">
      <alignment horizontal="center" vertical="center"/>
    </xf>
    <xf numFmtId="171" fontId="8" fillId="0" borderId="0" xfId="0" applyNumberFormat="1" applyFont="1" applyAlignment="1">
      <alignment vertical="center"/>
    </xf>
    <xf numFmtId="0" fontId="8" fillId="2" borderId="19" xfId="0" applyFont="1" applyFill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9" fillId="2" borderId="18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horizontal="right" vertical="center"/>
    </xf>
    <xf numFmtId="171" fontId="9" fillId="2" borderId="32" xfId="0" applyNumberFormat="1" applyFont="1" applyFill="1" applyBorder="1" applyAlignment="1">
      <alignment horizontal="center" vertical="center"/>
    </xf>
    <xf numFmtId="0" fontId="8" fillId="2" borderId="0" xfId="16" applyNumberFormat="1" applyFont="1" applyFill="1" applyBorder="1" applyAlignment="1" applyProtection="1">
      <alignment horizontal="center" vertical="center"/>
    </xf>
    <xf numFmtId="171" fontId="9" fillId="2" borderId="39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/>
    </xf>
    <xf numFmtId="167" fontId="9" fillId="2" borderId="25" xfId="14" applyNumberFormat="1" applyFont="1" applyFill="1" applyBorder="1" applyAlignment="1" applyProtection="1">
      <alignment horizontal="center" vertical="center" wrapText="1"/>
    </xf>
    <xf numFmtId="167" fontId="9" fillId="2" borderId="0" xfId="14" applyNumberFormat="1" applyFont="1" applyFill="1" applyBorder="1" applyAlignment="1" applyProtection="1">
      <alignment horizontal="center" vertical="center" wrapText="1"/>
    </xf>
    <xf numFmtId="49" fontId="9" fillId="2" borderId="0" xfId="0" applyNumberFormat="1" applyFont="1" applyFill="1" applyAlignment="1" applyProtection="1">
      <alignment horizontal="left" vertical="center"/>
      <protection locked="0"/>
    </xf>
    <xf numFmtId="0" fontId="8" fillId="2" borderId="13" xfId="0" applyFont="1" applyFill="1" applyBorder="1" applyAlignment="1">
      <alignment vertical="center"/>
    </xf>
    <xf numFmtId="0" fontId="8" fillId="0" borderId="60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171" fontId="8" fillId="8" borderId="13" xfId="15" applyNumberFormat="1" applyFont="1" applyFill="1" applyBorder="1" applyAlignment="1" applyProtection="1">
      <alignment horizontal="center" vertical="center"/>
      <protection locked="0"/>
    </xf>
    <xf numFmtId="171" fontId="8" fillId="8" borderId="5" xfId="15" applyNumberFormat="1" applyFont="1" applyFill="1" applyBorder="1" applyAlignment="1" applyProtection="1">
      <alignment horizontal="center" vertical="center"/>
      <protection locked="0"/>
    </xf>
    <xf numFmtId="0" fontId="8" fillId="8" borderId="5" xfId="15" applyNumberFormat="1" applyFont="1" applyFill="1" applyBorder="1" applyAlignment="1" applyProtection="1">
      <alignment horizontal="center" vertical="center"/>
      <protection locked="0"/>
    </xf>
    <xf numFmtId="0" fontId="8" fillId="0" borderId="64" xfId="0" applyFont="1" applyBorder="1" applyAlignment="1">
      <alignment vertical="center"/>
    </xf>
    <xf numFmtId="0" fontId="8" fillId="0" borderId="24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74" fontId="9" fillId="2" borderId="0" xfId="16" applyNumberFormat="1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vertical="center"/>
      <protection locked="0"/>
    </xf>
    <xf numFmtId="49" fontId="8" fillId="2" borderId="1" xfId="0" applyNumberFormat="1" applyFont="1" applyFill="1" applyBorder="1" applyAlignment="1" applyProtection="1">
      <alignment horizontal="left" vertical="center"/>
      <protection locked="0"/>
    </xf>
    <xf numFmtId="9" fontId="9" fillId="2" borderId="3" xfId="12" applyFont="1" applyFill="1" applyBorder="1" applyAlignment="1" applyProtection="1">
      <alignment horizontal="center" vertical="center"/>
    </xf>
    <xf numFmtId="0" fontId="8" fillId="0" borderId="18" xfId="0" applyFont="1" applyBorder="1" applyAlignment="1">
      <alignment vertical="center"/>
    </xf>
    <xf numFmtId="0" fontId="22" fillId="0" borderId="25" xfId="0" applyFont="1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9" fontId="22" fillId="0" borderId="15" xfId="0" applyNumberFormat="1" applyFont="1" applyBorder="1" applyAlignment="1">
      <alignment horizontal="left" vertical="center"/>
    </xf>
    <xf numFmtId="9" fontId="22" fillId="0" borderId="42" xfId="0" applyNumberFormat="1" applyFont="1" applyBorder="1" applyAlignment="1">
      <alignment horizontal="left" vertical="center"/>
    </xf>
    <xf numFmtId="9" fontId="22" fillId="0" borderId="0" xfId="0" applyNumberFormat="1" applyFont="1" applyAlignment="1">
      <alignment horizontal="left" vertical="center"/>
    </xf>
    <xf numFmtId="171" fontId="8" fillId="2" borderId="0" xfId="0" applyNumberFormat="1" applyFont="1" applyFill="1" applyAlignment="1">
      <alignment horizontal="right" vertical="center"/>
    </xf>
    <xf numFmtId="0" fontId="10" fillId="3" borderId="19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right" vertical="center"/>
    </xf>
    <xf numFmtId="0" fontId="18" fillId="3" borderId="18" xfId="0" applyFont="1" applyFill="1" applyBorder="1" applyAlignment="1">
      <alignment vertical="center"/>
    </xf>
    <xf numFmtId="0" fontId="10" fillId="3" borderId="38" xfId="0" applyFont="1" applyFill="1" applyBorder="1" applyAlignment="1">
      <alignment horizontal="center" vertical="center"/>
    </xf>
    <xf numFmtId="171" fontId="10" fillId="3" borderId="38" xfId="0" applyNumberFormat="1" applyFont="1" applyFill="1" applyBorder="1" applyAlignment="1">
      <alignment horizontal="center" vertical="center"/>
    </xf>
    <xf numFmtId="171" fontId="10" fillId="3" borderId="34" xfId="0" applyNumberFormat="1" applyFont="1" applyFill="1" applyBorder="1" applyAlignment="1">
      <alignment horizontal="center" vertical="center"/>
    </xf>
    <xf numFmtId="0" fontId="8" fillId="0" borderId="55" xfId="0" applyFont="1" applyBorder="1" applyAlignment="1">
      <alignment vertical="center" wrapText="1"/>
    </xf>
    <xf numFmtId="0" fontId="9" fillId="0" borderId="55" xfId="0" applyFont="1" applyBorder="1" applyAlignment="1">
      <alignment horizontal="right" vertical="center"/>
    </xf>
    <xf numFmtId="171" fontId="9" fillId="2" borderId="22" xfId="0" applyNumberFormat="1" applyFont="1" applyFill="1" applyBorder="1" applyAlignment="1">
      <alignment horizontal="center" vertical="center"/>
    </xf>
    <xf numFmtId="171" fontId="9" fillId="0" borderId="22" xfId="0" applyNumberFormat="1" applyFont="1" applyBorder="1" applyAlignment="1">
      <alignment horizontal="center" vertical="center"/>
    </xf>
    <xf numFmtId="171" fontId="9" fillId="0" borderId="61" xfId="0" applyNumberFormat="1" applyFont="1" applyBorder="1" applyAlignment="1">
      <alignment horizontal="center" vertical="center"/>
    </xf>
    <xf numFmtId="9" fontId="8" fillId="0" borderId="0" xfId="12" applyFont="1" applyFill="1" applyBorder="1" applyAlignment="1" applyProtection="1">
      <alignment horizontal="center" vertical="center"/>
    </xf>
    <xf numFmtId="171" fontId="8" fillId="0" borderId="0" xfId="0" applyNumberFormat="1" applyFont="1" applyAlignment="1">
      <alignment horizontal="center" vertical="center"/>
    </xf>
    <xf numFmtId="0" fontId="8" fillId="0" borderId="23" xfId="0" applyFont="1" applyBorder="1" applyAlignment="1">
      <alignment vertical="center"/>
    </xf>
    <xf numFmtId="0" fontId="8" fillId="0" borderId="23" xfId="0" applyFont="1" applyBorder="1" applyAlignment="1">
      <alignment vertical="center" wrapText="1"/>
    </xf>
    <xf numFmtId="0" fontId="9" fillId="0" borderId="23" xfId="0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69" fontId="8" fillId="2" borderId="0" xfId="0" applyNumberFormat="1" applyFont="1" applyFill="1" applyAlignment="1">
      <alignment horizontal="right" vertical="center"/>
    </xf>
    <xf numFmtId="0" fontId="8" fillId="0" borderId="26" xfId="0" applyFont="1" applyBorder="1" applyAlignment="1">
      <alignment vertical="center"/>
    </xf>
    <xf numFmtId="167" fontId="8" fillId="0" borderId="18" xfId="14" applyNumberFormat="1" applyFont="1" applyBorder="1" applyAlignment="1" applyProtection="1">
      <alignment vertical="center"/>
    </xf>
    <xf numFmtId="167" fontId="8" fillId="0" borderId="34" xfId="14" applyNumberFormat="1" applyFont="1" applyBorder="1" applyAlignment="1" applyProtection="1">
      <alignment vertical="center"/>
    </xf>
    <xf numFmtId="167" fontId="8" fillId="0" borderId="0" xfId="14" applyNumberFormat="1" applyFont="1" applyBorder="1" applyAlignment="1" applyProtection="1">
      <alignment vertical="center"/>
    </xf>
    <xf numFmtId="167" fontId="9" fillId="2" borderId="38" xfId="14" applyNumberFormat="1" applyFont="1" applyFill="1" applyBorder="1" applyAlignment="1" applyProtection="1">
      <alignment horizontal="center" vertical="center" wrapText="1"/>
    </xf>
    <xf numFmtId="167" fontId="9" fillId="2" borderId="29" xfId="14" applyNumberFormat="1" applyFont="1" applyFill="1" applyBorder="1" applyAlignment="1" applyProtection="1">
      <alignment horizontal="center" vertical="center" wrapText="1"/>
    </xf>
    <xf numFmtId="167" fontId="9" fillId="2" borderId="15" xfId="14" applyNumberFormat="1" applyFont="1" applyFill="1" applyBorder="1" applyAlignment="1" applyProtection="1">
      <alignment horizontal="center" vertical="center" wrapText="1"/>
    </xf>
    <xf numFmtId="167" fontId="9" fillId="2" borderId="57" xfId="14" applyNumberFormat="1" applyFont="1" applyFill="1" applyBorder="1" applyAlignment="1" applyProtection="1">
      <alignment horizontal="center" vertical="center" wrapText="1"/>
    </xf>
    <xf numFmtId="0" fontId="9" fillId="0" borderId="55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171" fontId="8" fillId="0" borderId="22" xfId="0" applyNumberFormat="1" applyFont="1" applyBorder="1" applyAlignment="1">
      <alignment horizontal="center" vertical="center"/>
    </xf>
    <xf numFmtId="171" fontId="8" fillId="0" borderId="42" xfId="0" applyNumberFormat="1" applyFont="1" applyBorder="1" applyAlignment="1">
      <alignment horizontal="center" vertical="center"/>
    </xf>
    <xf numFmtId="0" fontId="8" fillId="8" borderId="22" xfId="15" applyNumberFormat="1" applyFont="1" applyFill="1" applyBorder="1" applyAlignment="1" applyProtection="1">
      <alignment horizontal="center" vertical="center"/>
      <protection locked="0"/>
    </xf>
    <xf numFmtId="0" fontId="9" fillId="0" borderId="10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171" fontId="8" fillId="0" borderId="36" xfId="0" applyNumberFormat="1" applyFont="1" applyBorder="1" applyAlignment="1">
      <alignment horizontal="center" vertical="center"/>
    </xf>
    <xf numFmtId="171" fontId="8" fillId="10" borderId="36" xfId="0" applyNumberFormat="1" applyFont="1" applyFill="1" applyBorder="1" applyAlignment="1">
      <alignment horizontal="center" vertical="center"/>
    </xf>
    <xf numFmtId="171" fontId="8" fillId="0" borderId="59" xfId="0" applyNumberFormat="1" applyFont="1" applyBorder="1" applyAlignment="1">
      <alignment horizontal="center" vertical="center"/>
    </xf>
    <xf numFmtId="0" fontId="8" fillId="8" borderId="9" xfId="15" applyNumberFormat="1" applyFont="1" applyFill="1" applyBorder="1" applyAlignment="1" applyProtection="1">
      <alignment horizontal="center" vertical="center"/>
      <protection locked="0"/>
    </xf>
    <xf numFmtId="0" fontId="22" fillId="0" borderId="26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23" xfId="0" applyFont="1" applyBorder="1" applyAlignment="1">
      <alignment horizontal="left" vertical="center"/>
    </xf>
    <xf numFmtId="1" fontId="22" fillId="0" borderId="0" xfId="0" applyNumberFormat="1" applyFont="1" applyAlignment="1">
      <alignment horizontal="left" vertical="center"/>
    </xf>
    <xf numFmtId="1" fontId="22" fillId="0" borderId="34" xfId="0" applyNumberFormat="1" applyFont="1" applyBorder="1" applyAlignment="1">
      <alignment horizontal="left" vertical="center"/>
    </xf>
    <xf numFmtId="175" fontId="8" fillId="2" borderId="0" xfId="0" applyNumberFormat="1" applyFont="1" applyFill="1" applyAlignment="1" applyProtection="1">
      <alignment horizontal="left" vertical="center"/>
      <protection locked="0"/>
    </xf>
    <xf numFmtId="175" fontId="8" fillId="2" borderId="0" xfId="0" applyNumberFormat="1" applyFont="1" applyFill="1" applyAlignment="1">
      <alignment horizontal="left" vertical="center"/>
    </xf>
    <xf numFmtId="175" fontId="8" fillId="0" borderId="0" xfId="0" applyNumberFormat="1" applyFont="1" applyAlignment="1">
      <alignment horizontal="left" vertical="center"/>
    </xf>
    <xf numFmtId="0" fontId="8" fillId="0" borderId="18" xfId="0" applyFont="1" applyBorder="1" applyAlignment="1">
      <alignment vertical="center" wrapText="1"/>
    </xf>
    <xf numFmtId="0" fontId="9" fillId="0" borderId="18" xfId="0" applyFont="1" applyBorder="1" applyAlignment="1">
      <alignment horizontal="right" vertical="center"/>
    </xf>
    <xf numFmtId="171" fontId="8" fillId="10" borderId="12" xfId="0" applyNumberFormat="1" applyFont="1" applyFill="1" applyBorder="1" applyAlignment="1">
      <alignment horizontal="center" vertical="center"/>
    </xf>
    <xf numFmtId="171" fontId="8" fillId="0" borderId="34" xfId="0" applyNumberFormat="1" applyFont="1" applyBorder="1" applyAlignment="1">
      <alignment horizontal="center" vertical="center"/>
    </xf>
    <xf numFmtId="171" fontId="9" fillId="0" borderId="0" xfId="0" applyNumberFormat="1" applyFont="1" applyAlignment="1">
      <alignment horizontal="center" vertical="center"/>
    </xf>
    <xf numFmtId="0" fontId="17" fillId="7" borderId="10" xfId="10" applyFont="1" applyFill="1" applyBorder="1" applyAlignment="1">
      <alignment horizontal="center" vertical="center"/>
    </xf>
    <xf numFmtId="0" fontId="11" fillId="3" borderId="50" xfId="10" applyFont="1" applyFill="1" applyBorder="1" applyAlignment="1">
      <alignment horizontal="center" vertical="center" wrapText="1"/>
    </xf>
    <xf numFmtId="0" fontId="11" fillId="3" borderId="22" xfId="10" applyFont="1" applyFill="1" applyBorder="1" applyAlignment="1">
      <alignment horizontal="center" vertical="center" wrapText="1"/>
    </xf>
    <xf numFmtId="0" fontId="11" fillId="3" borderId="53" xfId="1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13" fillId="6" borderId="7" xfId="12" applyNumberFormat="1" applyFont="1" applyFill="1" applyBorder="1" applyAlignment="1" applyProtection="1">
      <alignment horizontal="center" vertical="center"/>
    </xf>
    <xf numFmtId="171" fontId="8" fillId="2" borderId="70" xfId="0" applyNumberFormat="1" applyFont="1" applyFill="1" applyBorder="1" applyAlignment="1">
      <alignment horizontal="center" vertical="center"/>
    </xf>
    <xf numFmtId="171" fontId="8" fillId="2" borderId="26" xfId="0" applyNumberFormat="1" applyFont="1" applyFill="1" applyBorder="1" applyAlignment="1">
      <alignment horizontal="center" vertical="center"/>
    </xf>
    <xf numFmtId="171" fontId="25" fillId="2" borderId="5" xfId="0" applyNumberFormat="1" applyFont="1" applyFill="1" applyBorder="1" applyAlignment="1">
      <alignment horizontal="center" vertical="center"/>
    </xf>
    <xf numFmtId="171" fontId="9" fillId="5" borderId="38" xfId="0" applyNumberFormat="1" applyFont="1" applyFill="1" applyBorder="1" applyAlignment="1">
      <alignment vertical="center"/>
    </xf>
    <xf numFmtId="0" fontId="2" fillId="2" borderId="4" xfId="10" applyFont="1" applyFill="1" applyBorder="1" applyAlignment="1">
      <alignment vertical="center"/>
    </xf>
    <xf numFmtId="1" fontId="13" fillId="6" borderId="13" xfId="12" applyNumberFormat="1" applyFont="1" applyFill="1" applyBorder="1" applyAlignment="1" applyProtection="1">
      <alignment horizontal="center" vertical="center"/>
    </xf>
    <xf numFmtId="1" fontId="13" fillId="0" borderId="5" xfId="9" applyNumberFormat="1" applyFont="1" applyBorder="1" applyAlignment="1" applyProtection="1">
      <alignment horizontal="center" vertical="center"/>
      <protection locked="0"/>
    </xf>
    <xf numFmtId="0" fontId="17" fillId="0" borderId="72" xfId="10" applyFont="1" applyBorder="1" applyAlignment="1" applyProtection="1">
      <alignment horizontal="center" vertical="center"/>
      <protection locked="0"/>
    </xf>
    <xf numFmtId="0" fontId="13" fillId="0" borderId="13" xfId="9" applyNumberFormat="1" applyFont="1" applyBorder="1" applyAlignment="1" applyProtection="1">
      <alignment horizontal="center" vertical="center"/>
      <protection locked="0"/>
    </xf>
    <xf numFmtId="0" fontId="17" fillId="6" borderId="31" xfId="10" applyFont="1" applyFill="1" applyBorder="1" applyAlignment="1">
      <alignment horizontal="center" vertical="center"/>
    </xf>
    <xf numFmtId="0" fontId="17" fillId="0" borderId="4" xfId="10" applyFont="1" applyBorder="1" applyAlignment="1" applyProtection="1">
      <alignment horizontal="center" vertical="center"/>
      <protection locked="0"/>
    </xf>
    <xf numFmtId="174" fontId="9" fillId="7" borderId="51" xfId="0" applyNumberFormat="1" applyFont="1" applyFill="1" applyBorder="1" applyAlignment="1">
      <alignment vertical="center"/>
    </xf>
    <xf numFmtId="0" fontId="17" fillId="7" borderId="8" xfId="10" applyFont="1" applyFill="1" applyBorder="1" applyAlignment="1">
      <alignment horizontal="center" vertical="center"/>
    </xf>
    <xf numFmtId="0" fontId="17" fillId="7" borderId="9" xfId="10" applyFont="1" applyFill="1" applyBorder="1" applyAlignment="1">
      <alignment horizontal="center" vertical="center"/>
    </xf>
    <xf numFmtId="0" fontId="17" fillId="7" borderId="66" xfId="10" applyFont="1" applyFill="1" applyBorder="1" applyAlignment="1">
      <alignment horizontal="center" vertical="center"/>
    </xf>
    <xf numFmtId="1" fontId="14" fillId="2" borderId="66" xfId="10" applyNumberFormat="1" applyFont="1" applyFill="1" applyBorder="1" applyAlignment="1">
      <alignment horizontal="center" vertical="center" wrapText="1"/>
    </xf>
    <xf numFmtId="1" fontId="14" fillId="2" borderId="8" xfId="10" applyNumberFormat="1" applyFont="1" applyFill="1" applyBorder="1" applyAlignment="1">
      <alignment horizontal="center" vertical="center" wrapText="1"/>
    </xf>
    <xf numFmtId="165" fontId="14" fillId="2" borderId="4" xfId="1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9" fontId="13" fillId="2" borderId="0" xfId="9" applyFont="1" applyFill="1" applyAlignment="1" applyProtection="1">
      <alignment vertical="center"/>
    </xf>
    <xf numFmtId="1" fontId="13" fillId="2" borderId="4" xfId="0" applyNumberFormat="1" applyFont="1" applyFill="1" applyBorder="1" applyAlignment="1">
      <alignment horizontal="center" vertical="center"/>
    </xf>
    <xf numFmtId="0" fontId="16" fillId="2" borderId="30" xfId="10" applyFont="1" applyFill="1" applyBorder="1" applyAlignment="1" applyProtection="1">
      <alignment vertical="center"/>
      <protection locked="0"/>
    </xf>
    <xf numFmtId="0" fontId="16" fillId="2" borderId="72" xfId="10" applyFont="1" applyFill="1" applyBorder="1" applyAlignment="1" applyProtection="1">
      <alignment vertical="center"/>
      <protection locked="0"/>
    </xf>
    <xf numFmtId="0" fontId="16" fillId="7" borderId="9" xfId="10" applyFont="1" applyFill="1" applyBorder="1" applyAlignment="1">
      <alignment vertical="center"/>
    </xf>
    <xf numFmtId="0" fontId="16" fillId="2" borderId="73" xfId="10" applyFont="1" applyFill="1" applyBorder="1" applyAlignment="1" applyProtection="1">
      <alignment vertical="center"/>
      <protection locked="0"/>
    </xf>
    <xf numFmtId="0" fontId="16" fillId="2" borderId="2" xfId="10" applyFont="1" applyFill="1" applyBorder="1" applyAlignment="1" applyProtection="1">
      <alignment vertical="center"/>
      <protection locked="0"/>
    </xf>
    <xf numFmtId="0" fontId="16" fillId="2" borderId="43" xfId="10" applyFont="1" applyFill="1" applyBorder="1" applyAlignment="1" applyProtection="1">
      <alignment vertical="center"/>
      <protection locked="0"/>
    </xf>
    <xf numFmtId="165" fontId="13" fillId="2" borderId="0" xfId="0" applyNumberFormat="1" applyFont="1" applyFill="1" applyAlignment="1">
      <alignment vertical="center"/>
    </xf>
    <xf numFmtId="0" fontId="16" fillId="11" borderId="21" xfId="10" applyFont="1" applyFill="1" applyBorder="1" applyAlignment="1" applyProtection="1">
      <alignment vertical="center"/>
      <protection locked="0"/>
    </xf>
    <xf numFmtId="0" fontId="16" fillId="11" borderId="4" xfId="10" applyFont="1" applyFill="1" applyBorder="1" applyAlignment="1" applyProtection="1">
      <alignment vertical="center"/>
      <protection locked="0"/>
    </xf>
    <xf numFmtId="0" fontId="16" fillId="12" borderId="21" xfId="10" applyFont="1" applyFill="1" applyBorder="1" applyAlignment="1" applyProtection="1">
      <alignment vertical="center"/>
      <protection locked="0"/>
    </xf>
    <xf numFmtId="0" fontId="16" fillId="12" borderId="4" xfId="10" applyFont="1" applyFill="1" applyBorder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6" fillId="0" borderId="4" xfId="10" applyFont="1" applyBorder="1" applyAlignment="1" applyProtection="1">
      <alignment vertical="center"/>
      <protection locked="0"/>
    </xf>
    <xf numFmtId="0" fontId="29" fillId="0" borderId="30" xfId="0" applyFont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center" vertical="center"/>
      <protection locked="0"/>
    </xf>
    <xf numFmtId="165" fontId="14" fillId="15" borderId="4" xfId="10" applyNumberFormat="1" applyFont="1" applyFill="1" applyBorder="1" applyAlignment="1">
      <alignment horizontal="center" vertical="center" wrapText="1"/>
    </xf>
    <xf numFmtId="1" fontId="13" fillId="15" borderId="4" xfId="0" applyNumberFormat="1" applyFont="1" applyFill="1" applyBorder="1" applyAlignment="1">
      <alignment horizontal="center" vertical="center"/>
    </xf>
    <xf numFmtId="0" fontId="16" fillId="13" borderId="4" xfId="10" applyFont="1" applyFill="1" applyBorder="1" applyAlignment="1" applyProtection="1">
      <alignment horizontal="left" vertical="center"/>
      <protection locked="0"/>
    </xf>
    <xf numFmtId="0" fontId="16" fillId="13" borderId="21" xfId="10" applyFont="1" applyFill="1" applyBorder="1" applyAlignment="1" applyProtection="1">
      <alignment horizontal="left" vertical="center"/>
      <protection locked="0"/>
    </xf>
    <xf numFmtId="0" fontId="16" fillId="14" borderId="4" xfId="10" applyFont="1" applyFill="1" applyBorder="1" applyAlignment="1" applyProtection="1">
      <alignment horizontal="left" vertical="center"/>
      <protection locked="0"/>
    </xf>
    <xf numFmtId="0" fontId="16" fillId="14" borderId="21" xfId="10" applyFont="1" applyFill="1" applyBorder="1" applyAlignment="1" applyProtection="1">
      <alignment horizontal="left" vertical="center"/>
      <protection locked="0"/>
    </xf>
    <xf numFmtId="0" fontId="16" fillId="4" borderId="4" xfId="10" applyFont="1" applyFill="1" applyBorder="1" applyAlignment="1" applyProtection="1">
      <alignment horizontal="left" vertical="center"/>
      <protection locked="0"/>
    </xf>
    <xf numFmtId="0" fontId="16" fillId="0" borderId="14" xfId="10" applyFont="1" applyBorder="1" applyAlignment="1" applyProtection="1">
      <alignment vertical="center"/>
      <protection locked="0"/>
    </xf>
    <xf numFmtId="1" fontId="13" fillId="0" borderId="4" xfId="9" applyNumberFormat="1" applyFont="1" applyFill="1" applyBorder="1" applyAlignment="1" applyProtection="1">
      <alignment horizontal="center" vertical="center"/>
      <protection locked="0"/>
    </xf>
    <xf numFmtId="0" fontId="16" fillId="0" borderId="21" xfId="10" applyFont="1" applyBorder="1" applyAlignment="1" applyProtection="1">
      <alignment vertical="center"/>
      <protection locked="0"/>
    </xf>
    <xf numFmtId="0" fontId="13" fillId="0" borderId="49" xfId="9" applyNumberFormat="1" applyFont="1" applyFill="1" applyBorder="1" applyAlignment="1" applyProtection="1">
      <alignment horizontal="left" vertical="center"/>
      <protection locked="0"/>
    </xf>
    <xf numFmtId="0" fontId="13" fillId="0" borderId="1" xfId="9" applyNumberFormat="1" applyFont="1" applyFill="1" applyBorder="1" applyAlignment="1" applyProtection="1">
      <alignment horizontal="left" vertical="center"/>
      <protection locked="0"/>
    </xf>
    <xf numFmtId="0" fontId="13" fillId="0" borderId="31" xfId="9" applyNumberFormat="1" applyFont="1" applyFill="1" applyBorder="1" applyAlignment="1" applyProtection="1">
      <alignment horizontal="left" vertical="center"/>
      <protection locked="0"/>
    </xf>
    <xf numFmtId="0" fontId="16" fillId="16" borderId="4" xfId="10" applyFont="1" applyFill="1" applyBorder="1" applyAlignment="1" applyProtection="1">
      <alignment horizontal="left" vertical="center"/>
      <protection locked="0"/>
    </xf>
    <xf numFmtId="0" fontId="16" fillId="17" borderId="4" xfId="10" applyFont="1" applyFill="1" applyBorder="1" applyAlignment="1" applyProtection="1">
      <alignment vertical="center"/>
      <protection locked="0"/>
    </xf>
    <xf numFmtId="0" fontId="16" fillId="18" borderId="4" xfId="10" applyFont="1" applyFill="1" applyBorder="1" applyAlignment="1" applyProtection="1">
      <alignment vertical="center"/>
      <protection locked="0"/>
    </xf>
    <xf numFmtId="0" fontId="1" fillId="2" borderId="4" xfId="10" applyFont="1" applyFill="1" applyBorder="1" applyAlignment="1" applyProtection="1">
      <alignment horizontal="center" vertical="center" wrapText="1"/>
      <protection locked="0"/>
    </xf>
    <xf numFmtId="0" fontId="1" fillId="2" borderId="0" xfId="10" applyFont="1" applyFill="1" applyAlignment="1">
      <alignment wrapText="1"/>
    </xf>
    <xf numFmtId="0" fontId="1" fillId="2" borderId="22" xfId="10" applyFont="1" applyFill="1" applyBorder="1" applyAlignment="1" applyProtection="1">
      <alignment horizontal="center" vertical="center"/>
      <protection locked="0"/>
    </xf>
    <xf numFmtId="0" fontId="1" fillId="0" borderId="4" xfId="10" applyFont="1" applyBorder="1" applyAlignment="1" applyProtection="1">
      <alignment horizontal="center" vertical="center"/>
      <protection locked="0"/>
    </xf>
    <xf numFmtId="0" fontId="1" fillId="0" borderId="3" xfId="10" applyFont="1" applyBorder="1" applyAlignment="1" applyProtection="1">
      <alignment horizontal="center" vertical="center"/>
      <protection locked="0"/>
    </xf>
    <xf numFmtId="0" fontId="1" fillId="6" borderId="45" xfId="10" applyFont="1" applyFill="1" applyBorder="1" applyAlignment="1">
      <alignment horizontal="center" vertical="center"/>
    </xf>
    <xf numFmtId="0" fontId="1" fillId="0" borderId="30" xfId="10" applyFont="1" applyBorder="1" applyAlignment="1" applyProtection="1">
      <alignment horizontal="center" vertical="center"/>
      <protection locked="0"/>
    </xf>
    <xf numFmtId="0" fontId="1" fillId="6" borderId="5" xfId="10" applyFont="1" applyFill="1" applyBorder="1" applyAlignment="1">
      <alignment horizontal="center" vertical="center"/>
    </xf>
    <xf numFmtId="0" fontId="1" fillId="0" borderId="45" xfId="10" applyFont="1" applyBorder="1" applyAlignment="1" applyProtection="1">
      <alignment horizontal="center" vertical="center"/>
      <protection locked="0"/>
    </xf>
    <xf numFmtId="0" fontId="1" fillId="6" borderId="37" xfId="10" applyFont="1" applyFill="1" applyBorder="1" applyAlignment="1">
      <alignment horizontal="center" vertical="center"/>
    </xf>
    <xf numFmtId="0" fontId="1" fillId="4" borderId="61" xfId="10" applyFont="1" applyFill="1" applyBorder="1" applyAlignment="1">
      <alignment horizontal="center" vertical="center"/>
    </xf>
    <xf numFmtId="0" fontId="1" fillId="2" borderId="4" xfId="10" applyFont="1" applyFill="1" applyBorder="1" applyAlignment="1" applyProtection="1">
      <alignment horizontal="center" vertical="center"/>
      <protection locked="0"/>
    </xf>
    <xf numFmtId="0" fontId="1" fillId="0" borderId="21" xfId="10" applyFont="1" applyBorder="1" applyAlignment="1" applyProtection="1">
      <alignment horizontal="center" vertical="center"/>
      <protection locked="0"/>
    </xf>
    <xf numFmtId="0" fontId="1" fillId="4" borderId="31" xfId="10" applyFont="1" applyFill="1" applyBorder="1" applyAlignment="1">
      <alignment horizontal="center" vertical="center"/>
    </xf>
    <xf numFmtId="0" fontId="1" fillId="0" borderId="47" xfId="10" applyFont="1" applyBorder="1" applyAlignment="1" applyProtection="1">
      <alignment horizontal="center" vertical="center"/>
      <protection locked="0"/>
    </xf>
    <xf numFmtId="0" fontId="1" fillId="0" borderId="2" xfId="10" applyFont="1" applyBorder="1" applyAlignment="1" applyProtection="1">
      <alignment horizontal="center" vertical="center"/>
      <protection locked="0"/>
    </xf>
    <xf numFmtId="0" fontId="1" fillId="6" borderId="4" xfId="10" applyFont="1" applyFill="1" applyBorder="1" applyAlignment="1">
      <alignment horizontal="center" vertical="center"/>
    </xf>
    <xf numFmtId="0" fontId="1" fillId="6" borderId="31" xfId="10" applyFont="1" applyFill="1" applyBorder="1" applyAlignment="1">
      <alignment horizontal="center" vertical="center"/>
    </xf>
    <xf numFmtId="0" fontId="1" fillId="0" borderId="72" xfId="10" applyFont="1" applyBorder="1" applyAlignment="1" applyProtection="1">
      <alignment horizontal="center" vertical="center"/>
      <protection locked="0"/>
    </xf>
    <xf numFmtId="0" fontId="1" fillId="2" borderId="7" xfId="10" applyFont="1" applyFill="1" applyBorder="1" applyAlignment="1" applyProtection="1">
      <alignment horizontal="center" vertical="center" wrapText="1"/>
      <protection locked="0"/>
    </xf>
    <xf numFmtId="0" fontId="1" fillId="2" borderId="13" xfId="10" applyFont="1" applyFill="1" applyBorder="1" applyAlignment="1" applyProtection="1">
      <alignment horizontal="center" vertical="center" wrapText="1"/>
      <protection locked="0"/>
    </xf>
    <xf numFmtId="0" fontId="1" fillId="7" borderId="8" xfId="10" applyFont="1" applyFill="1" applyBorder="1" applyAlignment="1">
      <alignment horizontal="center" vertical="center" wrapText="1"/>
    </xf>
    <xf numFmtId="0" fontId="1" fillId="7" borderId="9" xfId="10" applyFont="1" applyFill="1" applyBorder="1" applyAlignment="1">
      <alignment horizontal="center" vertical="center"/>
    </xf>
    <xf numFmtId="0" fontId="1" fillId="7" borderId="16" xfId="10" applyFont="1" applyFill="1" applyBorder="1" applyAlignment="1">
      <alignment horizontal="center" vertical="center"/>
    </xf>
    <xf numFmtId="165" fontId="1" fillId="7" borderId="10" xfId="10" applyNumberFormat="1" applyFont="1" applyFill="1" applyBorder="1" applyAlignment="1">
      <alignment horizontal="center" vertical="center"/>
    </xf>
    <xf numFmtId="0" fontId="1" fillId="7" borderId="52" xfId="10" applyFont="1" applyFill="1" applyBorder="1" applyAlignment="1">
      <alignment horizontal="left" vertical="center"/>
    </xf>
    <xf numFmtId="0" fontId="1" fillId="7" borderId="23" xfId="10" applyFont="1" applyFill="1" applyBorder="1" applyAlignment="1">
      <alignment horizontal="left" vertical="center"/>
    </xf>
    <xf numFmtId="0" fontId="1" fillId="7" borderId="39" xfId="10" applyFont="1" applyFill="1" applyBorder="1" applyAlignment="1">
      <alignment horizontal="left" vertical="center"/>
    </xf>
    <xf numFmtId="0" fontId="1" fillId="2" borderId="22" xfId="10" applyFont="1" applyFill="1" applyBorder="1" applyAlignment="1" applyProtection="1">
      <alignment horizontal="center" vertical="center" wrapText="1"/>
      <protection locked="0"/>
    </xf>
    <xf numFmtId="0" fontId="1" fillId="0" borderId="40" xfId="10" applyFont="1" applyBorder="1" applyAlignment="1" applyProtection="1">
      <alignment horizontal="center" vertical="center"/>
      <protection locked="0"/>
    </xf>
    <xf numFmtId="0" fontId="1" fillId="18" borderId="4" xfId="10" applyFont="1" applyFill="1" applyBorder="1" applyAlignment="1" applyProtection="1">
      <alignment horizontal="center" vertical="center"/>
      <protection locked="0"/>
    </xf>
    <xf numFmtId="0" fontId="1" fillId="18" borderId="21" xfId="10" applyFont="1" applyFill="1" applyBorder="1" applyAlignment="1" applyProtection="1">
      <alignment horizontal="center" vertical="center"/>
      <protection locked="0"/>
    </xf>
    <xf numFmtId="0" fontId="1" fillId="2" borderId="28" xfId="10" applyFont="1" applyFill="1" applyBorder="1" applyAlignment="1" applyProtection="1">
      <alignment horizontal="center" vertical="center" wrapText="1"/>
      <protection locked="0"/>
    </xf>
    <xf numFmtId="0" fontId="1" fillId="0" borderId="64" xfId="10" applyFont="1" applyBorder="1" applyAlignment="1" applyProtection="1">
      <alignment horizontal="center" vertical="center"/>
      <protection locked="0"/>
    </xf>
    <xf numFmtId="0" fontId="1" fillId="7" borderId="65" xfId="10" applyFont="1" applyFill="1" applyBorder="1" applyAlignment="1">
      <alignment horizontal="left" vertical="center"/>
    </xf>
    <xf numFmtId="0" fontId="1" fillId="7" borderId="48" xfId="10" applyFont="1" applyFill="1" applyBorder="1" applyAlignment="1">
      <alignment horizontal="left" vertical="center"/>
    </xf>
    <xf numFmtId="0" fontId="2" fillId="2" borderId="5" xfId="10" applyFont="1" applyFill="1" applyBorder="1" applyAlignment="1">
      <alignment vertical="center"/>
    </xf>
    <xf numFmtId="0" fontId="17" fillId="18" borderId="21" xfId="10" applyFont="1" applyFill="1" applyBorder="1" applyAlignment="1" applyProtection="1">
      <alignment horizontal="center" vertical="center"/>
      <protection locked="0"/>
    </xf>
    <xf numFmtId="0" fontId="1" fillId="18" borderId="45" xfId="10" applyFont="1" applyFill="1" applyBorder="1" applyAlignment="1" applyProtection="1">
      <alignment horizontal="center" vertical="center"/>
      <protection locked="0"/>
    </xf>
    <xf numFmtId="0" fontId="1" fillId="18" borderId="40" xfId="10" applyFont="1" applyFill="1" applyBorder="1" applyAlignment="1" applyProtection="1">
      <alignment horizontal="center" vertical="center"/>
      <protection locked="0"/>
    </xf>
    <xf numFmtId="0" fontId="13" fillId="0" borderId="7" xfId="9" applyNumberFormat="1" applyFont="1" applyFill="1" applyBorder="1" applyAlignment="1" applyProtection="1">
      <alignment horizontal="center" vertical="center"/>
      <protection locked="0"/>
    </xf>
    <xf numFmtId="0" fontId="13" fillId="0" borderId="49" xfId="9" applyNumberFormat="1" applyFont="1" applyBorder="1" applyAlignment="1" applyProtection="1">
      <alignment horizontal="left" vertical="center"/>
      <protection locked="0"/>
    </xf>
    <xf numFmtId="0" fontId="13" fillId="0" borderId="1" xfId="9" applyNumberFormat="1" applyFont="1" applyBorder="1" applyAlignment="1" applyProtection="1">
      <alignment horizontal="left" vertical="center"/>
      <protection locked="0"/>
    </xf>
    <xf numFmtId="0" fontId="13" fillId="0" borderId="31" xfId="9" applyNumberFormat="1" applyFont="1" applyBorder="1" applyAlignment="1" applyProtection="1">
      <alignment horizontal="left" vertical="center"/>
      <protection locked="0"/>
    </xf>
    <xf numFmtId="0" fontId="13" fillId="0" borderId="54" xfId="9" applyNumberFormat="1" applyFont="1" applyBorder="1" applyAlignment="1" applyProtection="1">
      <alignment horizontal="left" vertical="center"/>
      <protection locked="0"/>
    </xf>
    <xf numFmtId="0" fontId="13" fillId="0" borderId="55" xfId="9" applyNumberFormat="1" applyFont="1" applyBorder="1" applyAlignment="1" applyProtection="1">
      <alignment horizontal="left" vertical="center"/>
      <protection locked="0"/>
    </xf>
    <xf numFmtId="0" fontId="13" fillId="0" borderId="61" xfId="9" applyNumberFormat="1" applyFont="1" applyBorder="1" applyAlignment="1" applyProtection="1">
      <alignment horizontal="left" vertical="center"/>
      <protection locked="0"/>
    </xf>
    <xf numFmtId="0" fontId="13" fillId="0" borderId="71" xfId="9" applyNumberFormat="1" applyFont="1" applyBorder="1" applyAlignment="1" applyProtection="1">
      <alignment horizontal="left" vertical="center"/>
      <protection locked="0"/>
    </xf>
    <xf numFmtId="0" fontId="13" fillId="0" borderId="24" xfId="9" applyNumberFormat="1" applyFont="1" applyBorder="1" applyAlignment="1" applyProtection="1">
      <alignment horizontal="left" vertical="center"/>
      <protection locked="0"/>
    </xf>
    <xf numFmtId="0" fontId="13" fillId="0" borderId="37" xfId="9" applyNumberFormat="1" applyFont="1" applyBorder="1" applyAlignment="1" applyProtection="1">
      <alignment horizontal="left" vertical="center"/>
      <protection locked="0"/>
    </xf>
    <xf numFmtId="0" fontId="13" fillId="0" borderId="49" xfId="9" applyNumberFormat="1" applyFont="1" applyFill="1" applyBorder="1" applyAlignment="1" applyProtection="1">
      <alignment horizontal="left" vertical="center"/>
      <protection locked="0"/>
    </xf>
    <xf numFmtId="0" fontId="13" fillId="0" borderId="1" xfId="9" applyNumberFormat="1" applyFont="1" applyFill="1" applyBorder="1" applyAlignment="1" applyProtection="1">
      <alignment horizontal="left" vertical="center"/>
      <protection locked="0"/>
    </xf>
    <xf numFmtId="0" fontId="13" fillId="0" borderId="31" xfId="9" applyNumberFormat="1" applyFont="1" applyFill="1" applyBorder="1" applyAlignment="1" applyProtection="1">
      <alignment horizontal="left" vertical="center"/>
      <protection locked="0"/>
    </xf>
    <xf numFmtId="0" fontId="15" fillId="3" borderId="25" xfId="10" applyFont="1" applyFill="1" applyBorder="1" applyAlignment="1">
      <alignment horizontal="center" vertical="center" wrapText="1"/>
    </xf>
    <xf numFmtId="0" fontId="15" fillId="3" borderId="15" xfId="10" applyFont="1" applyFill="1" applyBorder="1" applyAlignment="1">
      <alignment horizontal="center" vertical="center" wrapText="1"/>
    </xf>
    <xf numFmtId="0" fontId="15" fillId="3" borderId="42" xfId="10" applyFont="1" applyFill="1" applyBorder="1" applyAlignment="1">
      <alignment horizontal="center" vertical="center" wrapText="1"/>
    </xf>
    <xf numFmtId="0" fontId="15" fillId="3" borderId="52" xfId="10" applyFont="1" applyFill="1" applyBorder="1" applyAlignment="1">
      <alignment horizontal="center" vertical="center" wrapText="1"/>
    </xf>
    <xf numFmtId="0" fontId="15" fillId="3" borderId="23" xfId="10" applyFont="1" applyFill="1" applyBorder="1" applyAlignment="1">
      <alignment horizontal="center" vertical="center" wrapText="1"/>
    </xf>
    <xf numFmtId="0" fontId="15" fillId="3" borderId="39" xfId="10" applyFont="1" applyFill="1" applyBorder="1" applyAlignment="1">
      <alignment horizontal="center" vertical="center" wrapText="1"/>
    </xf>
    <xf numFmtId="0" fontId="13" fillId="15" borderId="49" xfId="9" applyNumberFormat="1" applyFont="1" applyFill="1" applyBorder="1" applyAlignment="1" applyProtection="1">
      <alignment horizontal="left" vertical="center"/>
      <protection locked="0"/>
    </xf>
    <xf numFmtId="0" fontId="13" fillId="15" borderId="1" xfId="9" applyNumberFormat="1" applyFont="1" applyFill="1" applyBorder="1" applyAlignment="1" applyProtection="1">
      <alignment horizontal="left" vertical="center"/>
      <protection locked="0"/>
    </xf>
    <xf numFmtId="0" fontId="13" fillId="15" borderId="31" xfId="9" applyNumberFormat="1" applyFont="1" applyFill="1" applyBorder="1" applyAlignment="1" applyProtection="1">
      <alignment horizontal="left" vertical="center"/>
      <protection locked="0"/>
    </xf>
    <xf numFmtId="0" fontId="15" fillId="3" borderId="6" xfId="10" applyFont="1" applyFill="1" applyBorder="1" applyAlignment="1">
      <alignment horizontal="center" vertical="center" wrapText="1"/>
    </xf>
    <xf numFmtId="0" fontId="15" fillId="3" borderId="20" xfId="10" applyFont="1" applyFill="1" applyBorder="1" applyAlignment="1">
      <alignment horizontal="center" vertical="center" wrapText="1"/>
    </xf>
    <xf numFmtId="0" fontId="15" fillId="3" borderId="50" xfId="10" applyFont="1" applyFill="1" applyBorder="1" applyAlignment="1">
      <alignment horizontal="center" vertical="center" wrapText="1"/>
    </xf>
    <xf numFmtId="0" fontId="15" fillId="3" borderId="8" xfId="10" applyFont="1" applyFill="1" applyBorder="1" applyAlignment="1">
      <alignment horizontal="center" vertical="center" wrapText="1"/>
    </xf>
    <xf numFmtId="0" fontId="15" fillId="3" borderId="30" xfId="10" applyFont="1" applyFill="1" applyBorder="1" applyAlignment="1">
      <alignment horizontal="center" vertical="center"/>
    </xf>
    <xf numFmtId="0" fontId="15" fillId="3" borderId="36" xfId="10" applyFont="1" applyFill="1" applyBorder="1" applyAlignment="1">
      <alignment horizontal="center" vertical="center"/>
    </xf>
    <xf numFmtId="0" fontId="15" fillId="3" borderId="29" xfId="10" applyFont="1" applyFill="1" applyBorder="1" applyAlignment="1">
      <alignment horizontal="center" vertical="center" wrapText="1"/>
    </xf>
    <xf numFmtId="0" fontId="15" fillId="3" borderId="41" xfId="10" applyFont="1" applyFill="1" applyBorder="1" applyAlignment="1">
      <alignment horizontal="center" vertical="center" wrapText="1"/>
    </xf>
    <xf numFmtId="0" fontId="15" fillId="3" borderId="30" xfId="10" applyFont="1" applyFill="1" applyBorder="1" applyAlignment="1">
      <alignment horizontal="center" vertical="center" wrapText="1"/>
    </xf>
    <xf numFmtId="0" fontId="15" fillId="3" borderId="36" xfId="10" applyFont="1" applyFill="1" applyBorder="1" applyAlignment="1">
      <alignment horizontal="center" vertical="center" wrapText="1"/>
    </xf>
    <xf numFmtId="0" fontId="15" fillId="3" borderId="57" xfId="10" applyFont="1" applyFill="1" applyBorder="1" applyAlignment="1">
      <alignment horizontal="center" vertical="center" wrapText="1"/>
    </xf>
    <xf numFmtId="0" fontId="15" fillId="3" borderId="56" xfId="10" applyFont="1" applyFill="1" applyBorder="1" applyAlignment="1">
      <alignment horizontal="center" vertical="center" wrapText="1"/>
    </xf>
    <xf numFmtId="0" fontId="15" fillId="3" borderId="46" xfId="10" applyFont="1" applyFill="1" applyBorder="1" applyAlignment="1" applyProtection="1">
      <alignment horizontal="center" vertical="center" wrapText="1"/>
      <protection locked="0"/>
    </xf>
    <xf numFmtId="0" fontId="15" fillId="3" borderId="58" xfId="10" applyFont="1" applyFill="1" applyBorder="1" applyAlignment="1" applyProtection="1">
      <alignment horizontal="center" vertical="center" wrapText="1"/>
      <protection locked="0"/>
    </xf>
    <xf numFmtId="0" fontId="15" fillId="3" borderId="27" xfId="10" applyFont="1" applyFill="1" applyBorder="1" applyAlignment="1" applyProtection="1">
      <alignment horizontal="center" vertical="center" wrapText="1"/>
      <protection locked="0"/>
    </xf>
    <xf numFmtId="0" fontId="15" fillId="3" borderId="46" xfId="10" applyFont="1" applyFill="1" applyBorder="1" applyAlignment="1">
      <alignment horizontal="center" vertical="center" wrapText="1"/>
    </xf>
    <xf numFmtId="0" fontId="15" fillId="3" borderId="27" xfId="1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8" borderId="3" xfId="0" applyFont="1" applyFill="1" applyBorder="1" applyAlignment="1" applyProtection="1">
      <alignment horizontal="center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0" fontId="8" fillId="8" borderId="2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3" fontId="8" fillId="8" borderId="3" xfId="0" applyNumberFormat="1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9" fontId="8" fillId="8" borderId="3" xfId="12" applyFont="1" applyFill="1" applyBorder="1" applyAlignment="1" applyProtection="1">
      <alignment horizontal="left" vertical="center"/>
      <protection locked="0"/>
    </xf>
    <xf numFmtId="9" fontId="8" fillId="8" borderId="31" xfId="12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9" borderId="19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34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/>
    </xf>
    <xf numFmtId="0" fontId="9" fillId="2" borderId="54" xfId="0" applyFont="1" applyFill="1" applyBorder="1" applyAlignment="1">
      <alignment horizontal="left" vertical="center" wrapText="1"/>
    </xf>
    <xf numFmtId="0" fontId="9" fillId="2" borderId="55" xfId="0" applyFont="1" applyFill="1" applyBorder="1" applyAlignment="1">
      <alignment horizontal="left" vertical="center" wrapText="1"/>
    </xf>
    <xf numFmtId="0" fontId="9" fillId="2" borderId="61" xfId="0" applyFont="1" applyFill="1" applyBorder="1" applyAlignment="1">
      <alignment horizontal="left" vertical="center" wrapText="1"/>
    </xf>
    <xf numFmtId="0" fontId="8" fillId="2" borderId="65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0" fillId="3" borderId="67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9" fillId="2" borderId="65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9" fontId="8" fillId="8" borderId="66" xfId="12" applyFont="1" applyFill="1" applyBorder="1" applyAlignment="1" applyProtection="1">
      <alignment horizontal="left" vertical="center"/>
      <protection locked="0"/>
    </xf>
    <xf numFmtId="9" fontId="8" fillId="8" borderId="48" xfId="12" applyFont="1" applyFill="1" applyBorder="1" applyAlignment="1" applyProtection="1">
      <alignment horizontal="left" vertical="center"/>
      <protection locked="0"/>
    </xf>
    <xf numFmtId="0" fontId="8" fillId="8" borderId="7" xfId="0" applyFont="1" applyFill="1" applyBorder="1" applyAlignment="1" applyProtection="1">
      <alignment horizontal="left" vertical="center"/>
      <protection locked="0"/>
    </xf>
    <xf numFmtId="0" fontId="8" fillId="8" borderId="4" xfId="0" applyFont="1" applyFill="1" applyBorder="1" applyAlignment="1" applyProtection="1">
      <alignment horizontal="left" vertical="center"/>
      <protection locked="0"/>
    </xf>
    <xf numFmtId="169" fontId="19" fillId="8" borderId="4" xfId="0" applyNumberFormat="1" applyFont="1" applyFill="1" applyBorder="1" applyAlignment="1" applyProtection="1">
      <alignment horizontal="left" vertical="center"/>
      <protection locked="0"/>
    </xf>
    <xf numFmtId="169" fontId="19" fillId="8" borderId="33" xfId="0" applyNumberFormat="1" applyFont="1" applyFill="1" applyBorder="1" applyAlignment="1" applyProtection="1">
      <alignment horizontal="left" vertical="center"/>
      <protection locked="0"/>
    </xf>
    <xf numFmtId="0" fontId="8" fillId="8" borderId="7" xfId="0" applyFont="1" applyFill="1" applyBorder="1" applyAlignment="1" applyProtection="1">
      <alignment horizontal="center"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9" fillId="8" borderId="66" xfId="0" applyFont="1" applyFill="1" applyBorder="1" applyAlignment="1" applyProtection="1">
      <alignment horizontal="left" vertical="center"/>
      <protection locked="0"/>
    </xf>
    <xf numFmtId="0" fontId="19" fillId="8" borderId="10" xfId="0" applyFont="1" applyFill="1" applyBorder="1" applyAlignment="1" applyProtection="1">
      <alignment horizontal="left" vertical="center"/>
      <protection locked="0"/>
    </xf>
    <xf numFmtId="0" fontId="19" fillId="8" borderId="48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0" borderId="65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9" fillId="0" borderId="69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0" fontId="9" fillId="0" borderId="43" xfId="0" applyFont="1" applyBorder="1" applyAlignment="1">
      <alignment horizontal="right" vertical="center"/>
    </xf>
  </cellXfs>
  <cellStyles count="17">
    <cellStyle name="Euro" xfId="1" xr:uid="{00000000-0005-0000-0000-000000000000}"/>
    <cellStyle name="Lien hypertexte" xfId="3" builtinId="8" hidden="1"/>
    <cellStyle name="Lien hypertexte" xfId="5" builtinId="8" hidden="1"/>
    <cellStyle name="Lien hypertexte" xfId="7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Milliers_Fiche budget 7" xfId="15" xr:uid="{00000000-0005-0000-0000-000007000000}"/>
    <cellStyle name="Monétaire 2" xfId="16" xr:uid="{00000000-0005-0000-0000-000008000000}"/>
    <cellStyle name="Monétaire_Fiche budget 7" xfId="14" xr:uid="{00000000-0005-0000-0000-000009000000}"/>
    <cellStyle name="Normal" xfId="0" builtinId="0"/>
    <cellStyle name="Normal 2" xfId="2" xr:uid="{00000000-0005-0000-0000-00000B000000}"/>
    <cellStyle name="Normal 3" xfId="10" xr:uid="{00000000-0005-0000-0000-00000C000000}"/>
    <cellStyle name="Normal 4" xfId="13" xr:uid="{00000000-0005-0000-0000-00000D000000}"/>
    <cellStyle name="Pourcentage" xfId="9" builtinId="5"/>
    <cellStyle name="Pourcentage 2" xfId="11" xr:uid="{00000000-0005-0000-0000-00000F000000}"/>
    <cellStyle name="Pourcentage 3" xfId="12" xr:uid="{00000000-0005-0000-0000-000010000000}"/>
  </cellStyles>
  <dxfs count="133">
    <dxf>
      <font>
        <color rgb="FF009A46"/>
      </font>
      <fill>
        <patternFill>
          <bgColor theme="0"/>
        </patternFill>
      </fill>
    </dxf>
    <dxf>
      <font>
        <color rgb="FFE84242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9A46"/>
      </font>
      <fill>
        <patternFill>
          <bgColor theme="0"/>
        </patternFill>
      </fill>
    </dxf>
    <dxf>
      <font>
        <color rgb="FFE84242"/>
      </font>
      <fill>
        <patternFill patternType="none">
          <bgColor auto="1"/>
        </patternFill>
      </fill>
    </dxf>
    <dxf>
      <font>
        <color rgb="FF009A46"/>
      </font>
      <fill>
        <patternFill>
          <bgColor theme="0"/>
        </patternFill>
      </fill>
    </dxf>
    <dxf>
      <font>
        <color rgb="FFE84242"/>
      </font>
      <fill>
        <patternFill patternType="none">
          <bgColor auto="1"/>
        </patternFill>
      </fill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ill>
        <patternFill>
          <bgColor rgb="FFFAF0F0"/>
        </patternFill>
      </fill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ont>
        <color rgb="FFE84242"/>
      </font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66"/>
      <color rgb="FFFAF0F0"/>
      <color rgb="FFFBE1E1"/>
      <color rgb="FFFF99FF"/>
      <color rgb="FFE84242"/>
      <color rgb="FFFF8E8E"/>
      <color rgb="FFF0F8FA"/>
      <color rgb="FFF4F7ED"/>
      <color rgb="FFF8EDEC"/>
      <color rgb="FF009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797860</xdr:colOff>
      <xdr:row>12</xdr:row>
      <xdr:rowOff>224120</xdr:rowOff>
    </xdr:from>
    <xdr:ext cx="6304483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19040981">
          <a:off x="1270300" y="2913980"/>
          <a:ext cx="630448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5400" b="1" cap="none" spc="0">
              <a:ln w="10160">
                <a:solidFill>
                  <a:srgbClr val="E84242">
                    <a:alpha val="42000"/>
                  </a:srgb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VERSION</a:t>
          </a:r>
          <a:r>
            <a:rPr lang="fr-FR" sz="5400" b="1" cap="none" spc="0" baseline="0">
              <a:ln w="10160">
                <a:solidFill>
                  <a:srgbClr val="E84242">
                    <a:alpha val="42000"/>
                  </a:srgbClr>
                </a:solidFill>
                <a:prstDash val="solid"/>
              </a:ln>
              <a:noFill/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DE TRAVAIL</a:t>
          </a:r>
          <a:endParaRPr lang="fr-FR" sz="5400" b="1" cap="none" spc="0">
            <a:ln w="10160">
              <a:solidFill>
                <a:srgbClr val="E84242">
                  <a:alpha val="42000"/>
                </a:srgbClr>
              </a:solidFill>
              <a:prstDash val="solid"/>
            </a:ln>
            <a:noFill/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5"/>
  <sheetViews>
    <sheetView zoomScale="72" zoomScaleNormal="72" workbookViewId="0">
      <pane xSplit="3" ySplit="7" topLeftCell="D33" activePane="bottomRight" state="frozen"/>
      <selection pane="bottomRight" activeCell="L20" sqref="L20:O20"/>
      <selection pane="bottomLeft" activeCell="A7" sqref="A7"/>
      <selection pane="topRight" activeCell="D1" sqref="D1"/>
    </sheetView>
  </sheetViews>
  <sheetFormatPr defaultColWidth="11.42578125" defaultRowHeight="15.75" outlineLevelCol="1"/>
  <cols>
    <col min="1" max="1" width="11.42578125" style="9"/>
    <col min="2" max="2" width="8.85546875" style="9" customWidth="1"/>
    <col min="3" max="3" width="50" style="10" customWidth="1"/>
    <col min="4" max="4" width="10.140625" style="10" customWidth="1"/>
    <col min="5" max="5" width="13" style="10" customWidth="1"/>
    <col min="6" max="6" width="9.28515625" style="10" customWidth="1"/>
    <col min="7" max="8" width="10" style="10" customWidth="1"/>
    <col min="9" max="11" width="11.42578125" style="10" customWidth="1"/>
    <col min="12" max="12" width="12.7109375" style="10" customWidth="1"/>
    <col min="13" max="15" width="12.28515625" style="10" customWidth="1"/>
    <col min="16" max="16" width="11.85546875" style="11" customWidth="1"/>
    <col min="17" max="27" width="12.28515625" style="10" customWidth="1"/>
    <col min="28" max="28" width="34.140625" style="10" customWidth="1"/>
    <col min="29" max="29" width="11.140625" style="10" hidden="1" customWidth="1" outlineLevel="1"/>
    <col min="30" max="30" width="10.85546875" style="10" hidden="1" customWidth="1" outlineLevel="1"/>
    <col min="31" max="31" width="11.42578125" style="10" collapsed="1"/>
    <col min="32" max="16384" width="11.42578125" style="10"/>
  </cols>
  <sheetData>
    <row r="1" spans="1:30" ht="6" customHeight="1"/>
    <row r="2" spans="1:30" ht="31.5">
      <c r="A2" s="10"/>
      <c r="H2" s="368" t="s">
        <v>0</v>
      </c>
      <c r="I2" s="366" t="s">
        <v>1</v>
      </c>
      <c r="J2" s="367" t="s">
        <v>2</v>
      </c>
      <c r="K2" s="366" t="s">
        <v>3</v>
      </c>
      <c r="L2" s="366" t="s">
        <v>4</v>
      </c>
      <c r="M2" s="377"/>
    </row>
    <row r="3" spans="1:30" ht="18" customHeight="1">
      <c r="A3" s="10"/>
      <c r="G3" s="20" t="s">
        <v>5</v>
      </c>
      <c r="H3" s="365">
        <f>SUM(I3:L3)</f>
        <v>519</v>
      </c>
      <c r="I3" s="370">
        <f>SUMIFS($AC$8:$AC$88,$G$8:$G$88,Paramétrage!$D$6,Enseignements!$D$8:$D$88,"mixte")+SUMIFS($AC$8:$AC$88,$G$8:$G$88,Paramétrage!$D$7,Enseignements!$D$8:$D$88,"mixte")+SUMIFS($AC$8:$AC$88,$G$8:$G$88,Paramétrage!$D$8,Enseignements!$D$8:$D$88,"mixte")+SUMIFS($AC$8:$AC$88,$G$8:$G$88,Paramétrage!$D$10,Enseignements!$D$8:$D$88,"mixte")+SUMIFS($AC$8:$AC$88,$G$8:$G$88,Paramétrage!$D$11,Enseignements!$D$8:$D$88,"mixte")+SUMIFS($AC$8:$AC$88,$G$8:$G$88,Paramétrage!$D$16,Enseignements!$D$8:$D$88,"mixte")+SUMIFS($AC$8:$AC$88,$G$8:$G$88,Paramétrage!$D$17,Enseignements!$D$8:$D$88,"mixte")+SUMIFS($AC$8:$AC$88,$G$8:$G$88,Paramétrage!$D$19,Enseignements!$D$8:$D$88,"mixte")+SUMIFS($AC$8:$AC$88,$G$8:$G$88,Paramétrage!$D$23,Enseignements!$D$8:$D$88,"mixte")+SUMIFS($AC$8:$AC$88,$G$8:$G$88,Paramétrage!$D$24,Enseignements!$D$8:$D$88,"mixte")+SUMIFS($AC$8:$AC$88,$G$8:$G$88,Paramétrage!$D$26,Enseignements!$D$8:$D$88,"mixte")+SUMIFS($AC$8:$AC$88,$G$8:$G$88,Paramétrage!$D$27,Enseignements!$D$8:$D$88,"mixte")+SUMIFS($AC$8:$AC$88,$G$8:$G$88,Paramétrage!$D$6,Enseignements!$D$8:$D$88,"FI/FC")+SUMIFS($AC$8:$AC$88,$G$8:$G$88,Paramétrage!$D$7,Enseignements!$D$8:$D$88,"FI/FC")+SUMIFS($AC$8:$AC$88,$G$8:$G$88,Paramétrage!$D$8,Enseignements!$D$8:$D$88,"FI/FC")+SUMIFS($AC$8:$AC$88,$G$8:$G$88,Paramétrage!$D$10,Enseignements!$D$8:$D$88,"FI/FC")+SUMIFS($AC$8:$AC$88,$G$8:$G$88,Paramétrage!$D$11,Enseignements!$D$8:$D$88,"FI/FC")+SUMIFS($AC$8:$AC$88,$G$8:$G$88,Paramétrage!$D$16,Enseignements!$D$8:$D$88,"FI/FC")+SUMIFS($AC$8:$AC$88,$G$8:$G$88,Paramétrage!$D$17,Enseignements!$D$8:$D$88,"FI/FC")+SUMIFS($AC$8:$AC$88,$G$8:$G$88,Paramétrage!$D$19,Enseignements!$D$8:$D$88,"FI/FC")+SUMIFS($AC$8:$AC$88,$G$8:$G$88,Paramétrage!$D$23,Enseignements!$D$8:$D$88,"FI/FC")+SUMIFS($AC$8:$AC$88,$G$8:$G$88,Paramétrage!$D$24,Enseignements!$D$8:$D$88,"FI/FC")+SUMIFS($AC$8:$AC$88,$G$8:$G$88,Paramétrage!$D$26,Enseignements!$D$8:$D$88,"FI/FC")+SUMIFS($AC$8:$AC$88,$G$8:$G$88,Paramétrage!$D$27,Enseignements!$D$8:$D$88,"FI/FC")</f>
        <v>399</v>
      </c>
      <c r="J3" s="370">
        <f>SUMIF($G$8:$G$88,Paramétrage!$D$9,$AC$8:$AC$88)</f>
        <v>0</v>
      </c>
      <c r="K3" s="370">
        <f>SUMIFS($AC$8:$AC$88,$G$8:$G$88,Paramétrage!$D$15,Enseignements!$D$8:$D$88,"mixte")+SUMIFS($AC$8:$AC$88,$G$8:$G$88,Paramétrage!$D$15,Enseignements!$D$8:$D$88,"FI/FC")</f>
        <v>20</v>
      </c>
      <c r="L3" s="370">
        <f>SUMIFS($AC$8:$AC$88,$G$8:$G$88,Paramétrage!$D$18,Enseignements!$D$8:$D$88,"mixte")+SUMIFS($AC$8:$AC$88,$G$8:$G$88,Paramétrage!$D$21,Enseignements!$D$8:$D$88,"mixte")+SUMIFS($AC$8:$AC$88,$G$8:$G$88,Paramétrage!$D$22,Enseignements!$D$8:$D$88,"mixte")+SUMIFS($AC$8:$AC$88,$G$8:$G$88,Paramétrage!$D$25,Enseignements!$D$8:$D$88,"mixte")+SUMIFS($AC$8:$AC$88,$G$8:$G$88,Paramétrage!$D$18,Enseignements!$D$8:$D$88,"FI/FC")+SUMIFS($AC$8:$AC$88,$G$8:$G$88,Paramétrage!$D$21,Enseignements!$D$8:$D$88,"FI/FC")+SUMIFS($AC$8:$AC$88,$G$8:$G$88,Paramétrage!$D$22,Enseignements!$D$8:$D$88,"FI/FC")+SUMIFS($AC$8:$AC$88,$G$8:$G$88,Paramétrage!$D$25,Enseignements!$D$8:$D$88,"FI/FC")</f>
        <v>100</v>
      </c>
      <c r="M3" s="377"/>
    </row>
    <row r="4" spans="1:30" ht="18" customHeight="1">
      <c r="A4" s="10"/>
      <c r="G4" s="20" t="s">
        <v>6</v>
      </c>
      <c r="H4" s="386">
        <f>SUM(I4:L4)</f>
        <v>1099</v>
      </c>
      <c r="I4" s="370">
        <f>SUMIFS($AC$8:$AC$88,$G$8:$G$88,Paramétrage!$D$6,Enseignements!$D$8:$D$88,"mixte")+SUMIFS($AC$8:$AC$88,$G$8:$G$88,Paramétrage!$D$7,Enseignements!$D$8:$D$88,"mixte")+SUMIFS($AC$8:$AC$88,$G$8:$G$88,Paramétrage!$D$8,Enseignements!$D$8:$D$88,"mixte")+SUMIFS($AC$8:$AC$88,$G$8:$G$88,Paramétrage!$D$10,Enseignements!$D$8:$D$88,"mixte")+SUMIFS($AC$8:$AC$88,$G$8:$G$88,Paramétrage!$D$11,Enseignements!$D$8:$D$88,"mixte")+SUMIFS($AC$8:$AC$88,$G$8:$G$88,Paramétrage!$D$16,Enseignements!$D$8:$D$88,"mixte")+SUMIFS($AC$8:$AC$88,$G$8:$G$88,Paramétrage!$D$17,Enseignements!$D$8:$D$88,"mixte")+SUMIFS($AC$8:$AC$88,$G$8:$G$88,Paramétrage!$D$19,Enseignements!$D$8:$D$88,"mixte")+SUMIFS($AC$8:$AC$88,$G$8:$G$88,Paramétrage!$D$23,Enseignements!$D$8:$D$88,"mixte")+SUMIFS($AC$8:$AC$88,$G$8:$G$88,Paramétrage!$D$24,Enseignements!$D$8:$D$88,"mixte")+SUMIFS($AC$8:$AC$88,$G$8:$G$88,Paramétrage!$D$26,Enseignements!$D$8:$D$88,"mixte")+SUMIFS($AC$8:$AC$88,$G$8:$G$88,Paramétrage!$D$27,Enseignements!$D$8:$D$88,"mixte")+SUMIFS($AC$8:$AC$88,$G$8:$G$88,Paramétrage!$D$6,Enseignements!$D$8:$D$88,"ALT")+SUMIFS($AC$8:$AC$88,$G$8:$G$88,Paramétrage!$D$7,Enseignements!$D$8:$D$88,"ALT")+SUMIFS($AC$8:$AC$88,$G$8:$G$88,Paramétrage!$D$8,Enseignements!$D$8:$D$88,"ALT")+SUMIFS($AC$8:$AC$88,$G$8:$G$88,Paramétrage!$D$10,Enseignements!$D$8:$D$88,"ALT")+SUMIFS($AC$8:$AC$88,$G$8:$G$88,Paramétrage!$D$11,Enseignements!$D$8:$D$88,"ALT")+SUMIFS($AC$8:$AC$88,$G$8:$G$88,Paramétrage!$D$16,Enseignements!$D$8:$D$88,"ALT")+SUMIFS($AC$8:$AC$88,$G$8:$G$88,Paramétrage!$D$17,Enseignements!$D$8:$D$88,"ALT")+SUMIFS($AC$8:$AC$88,$G$8:$G$88,Paramétrage!$D$19,Enseignements!$D$8:$D$88,"ALT")+SUMIFS($AC$8:$AC$88,$G$8:$G$88,Paramétrage!$D$23,Enseignements!$D$8:$D$88,"ALT")+SUMIFS($AC$8:$AC$88,$G$8:$G$88,Paramétrage!$D$24,Enseignements!$D$8:$D$88,"ALT")+SUMIFS($AC$8:$AC$88,$G$8:$G$88,Paramétrage!$D$26,Enseignements!$D$8:$D$88,"ALT")+SUMIFS($AC$8:$AC$88,$G$8:$G$88,Paramétrage!$D$27,Enseignements!$D$8:$D$88,"ALT")</f>
        <v>399</v>
      </c>
      <c r="J4" s="370">
        <f>SUMIF($G$8:$G$88,Paramétrage!$D$12,$AC$8:$AC$88)</f>
        <v>580</v>
      </c>
      <c r="K4" s="387">
        <f>SUMIFS($AC$8:$AC$88,$G$8:$G$88,Paramétrage!$D$15,Enseignements!$D$8:$D$88,"mixte")+SUMIFS($AC$8:$AC$88,$G$8:$G$88,Paramétrage!$D$15,Enseignements!$D$8:$D$88,"ALT")</f>
        <v>20</v>
      </c>
      <c r="L4" s="370">
        <f>SUMIFS($AC$8:$AC$88,$G$8:$G$88,Paramétrage!$D$18,Enseignements!$D$8:$D$88,"mixte")+SUMIFS($AC$8:$AC$88,$G$8:$G$88,Paramétrage!$D$21,Enseignements!$D$8:$D$88,"mixte")+SUMIFS($AC$8:$AC$88,$G$8:$G$88,Paramétrage!$D$22,Enseignements!$D$8:$D$88,"mixte")+SUMIFS($AC$8:$AC$88,$G$8:$G$88,Paramétrage!$D$25,Enseignements!$D$8:$D$88,"mixte")+SUMIFS($AC$8:$AC$88,$G$8:$G$88,Paramétrage!$D$18,Enseignements!$D$8:$D$88,"ALT")+SUMIFS($AC$8:$AC$88,$G$8:$G$88,Paramétrage!$D$21,Enseignements!$D$8:$D$88,"ALT")+SUMIFS($AC$8:$AC$88,$G$8:$G$88,Paramétrage!$D$22,Enseignements!$D$8:$D$88,"ALT")+SUMIFS($AC$8:$AC$88,$G$8:$G$88,Paramétrage!$D$25,Enseignements!$D$8:$D$88,"ALT")</f>
        <v>100</v>
      </c>
      <c r="M4" s="377"/>
      <c r="W4" s="369"/>
    </row>
    <row r="5" spans="1:30" ht="6.6" customHeight="1" thickBot="1">
      <c r="A5" s="10"/>
      <c r="B5" s="10"/>
    </row>
    <row r="6" spans="1:30" ht="68.45" customHeight="1">
      <c r="A6" s="403"/>
      <c r="B6" s="464" t="s">
        <v>7</v>
      </c>
      <c r="C6" s="468" t="s">
        <v>8</v>
      </c>
      <c r="D6" s="468" t="s">
        <v>9</v>
      </c>
      <c r="E6" s="470" t="s">
        <v>10</v>
      </c>
      <c r="F6" s="468" t="s">
        <v>11</v>
      </c>
      <c r="G6" s="472" t="s">
        <v>12</v>
      </c>
      <c r="H6" s="472" t="s">
        <v>13</v>
      </c>
      <c r="I6" s="470" t="s">
        <v>14</v>
      </c>
      <c r="J6" s="474" t="s">
        <v>15</v>
      </c>
      <c r="K6" s="466" t="s">
        <v>16</v>
      </c>
      <c r="L6" s="456" t="s">
        <v>17</v>
      </c>
      <c r="M6" s="456"/>
      <c r="N6" s="456"/>
      <c r="O6" s="457"/>
      <c r="P6" s="30" t="s">
        <v>18</v>
      </c>
      <c r="Q6" s="30" t="s">
        <v>19</v>
      </c>
      <c r="R6" s="12" t="s">
        <v>20</v>
      </c>
      <c r="S6" s="12" t="s">
        <v>21</v>
      </c>
      <c r="T6" s="47" t="s">
        <v>22</v>
      </c>
      <c r="U6" s="343" t="s">
        <v>23</v>
      </c>
      <c r="V6" s="344" t="s">
        <v>24</v>
      </c>
      <c r="W6" s="344" t="s">
        <v>25</v>
      </c>
      <c r="X6" s="344" t="s">
        <v>26</v>
      </c>
      <c r="Y6" s="345" t="s">
        <v>27</v>
      </c>
      <c r="Z6" s="455" t="s">
        <v>28</v>
      </c>
      <c r="AA6" s="456"/>
      <c r="AB6" s="457"/>
      <c r="AC6" s="479" t="s">
        <v>29</v>
      </c>
      <c r="AD6" s="457" t="s">
        <v>30</v>
      </c>
    </row>
    <row r="7" spans="1:30" ht="16.5" thickBot="1">
      <c r="A7" s="403"/>
      <c r="B7" s="465"/>
      <c r="C7" s="469"/>
      <c r="D7" s="469"/>
      <c r="E7" s="471"/>
      <c r="F7" s="469"/>
      <c r="G7" s="473"/>
      <c r="H7" s="473"/>
      <c r="I7" s="471"/>
      <c r="J7" s="475"/>
      <c r="K7" s="467"/>
      <c r="L7" s="459"/>
      <c r="M7" s="459"/>
      <c r="N7" s="459"/>
      <c r="O7" s="460"/>
      <c r="P7" s="38"/>
      <c r="Q7" s="13">
        <f t="shared" ref="Q7:Y7" si="0">Q48+Q89</f>
        <v>398</v>
      </c>
      <c r="R7" s="13">
        <f t="shared" si="0"/>
        <v>200</v>
      </c>
      <c r="S7" s="13">
        <f t="shared" si="0"/>
        <v>598</v>
      </c>
      <c r="T7" s="363">
        <f t="shared" si="0"/>
        <v>679</v>
      </c>
      <c r="U7" s="364">
        <f t="shared" si="0"/>
        <v>358</v>
      </c>
      <c r="V7" s="13">
        <f t="shared" si="0"/>
        <v>10</v>
      </c>
      <c r="W7" s="13">
        <f t="shared" si="0"/>
        <v>230</v>
      </c>
      <c r="X7" s="13">
        <f t="shared" si="0"/>
        <v>0</v>
      </c>
      <c r="Y7" s="13">
        <f t="shared" si="0"/>
        <v>598</v>
      </c>
      <c r="Z7" s="458"/>
      <c r="AA7" s="459"/>
      <c r="AB7" s="460"/>
      <c r="AC7" s="480"/>
      <c r="AD7" s="460"/>
    </row>
    <row r="8" spans="1:30" ht="15.6" customHeight="1" thickBot="1">
      <c r="A8" s="476" t="s">
        <v>31</v>
      </c>
      <c r="B8" s="402" t="s">
        <v>32</v>
      </c>
      <c r="C8" s="378" t="s">
        <v>33</v>
      </c>
      <c r="D8" s="371" t="s">
        <v>34</v>
      </c>
      <c r="E8" s="34" t="s">
        <v>35</v>
      </c>
      <c r="F8" s="25"/>
      <c r="G8" s="404" t="s">
        <v>36</v>
      </c>
      <c r="H8" s="29">
        <v>18</v>
      </c>
      <c r="I8" s="410">
        <v>19</v>
      </c>
      <c r="J8" s="406">
        <v>19</v>
      </c>
      <c r="K8" s="35" t="s">
        <v>37</v>
      </c>
      <c r="L8" s="447"/>
      <c r="M8" s="447"/>
      <c r="N8" s="447"/>
      <c r="O8" s="448"/>
      <c r="P8" s="347">
        <f>IF(OR(J8="",G8=Paramétrage!$D$9,G8=Paramétrage!$D$12,G8=Paramétrage!$D$15,G8=Paramétrage!$D$18,G8=Paramétrage!$D$22,G8=Paramétrage!$D$25,AND(G8&lt;&gt;Paramétrage!$D$9,K8="Mut+ext")),0,ROUNDUP(I8/J8,0))</f>
        <v>1</v>
      </c>
      <c r="Q8" s="407">
        <f>IF(OR(G8="",K8="Mut+ext"),0,IF(VLOOKUP(G8,Paramétrage!$D$6:$F$27,3,0)=0,0,IF(J8="","saisir capacité",H8*P8*VLOOKUP(G8,Paramétrage!$D$6:$F$27,2,0))))</f>
        <v>18</v>
      </c>
      <c r="R8" s="408"/>
      <c r="S8" s="409">
        <f>IF(OR(G8="",K8="Mut+ext"),0,IF(ISERROR(Q8+R8)=TRUE,Q8,Q8+R8))</f>
        <v>18</v>
      </c>
      <c r="T8" s="39">
        <f>IF(G8="",0,IF(ISERROR(R8+Q8*VLOOKUP(G8,Paramétrage!$D$6:$F$27,3,0))=TRUE,S8,R8+Q8*VLOOKUP(G8,Paramétrage!$D$6:$F$27,3,0)))</f>
        <v>27</v>
      </c>
      <c r="U8" s="410">
        <v>18</v>
      </c>
      <c r="V8" s="410"/>
      <c r="W8" s="410"/>
      <c r="X8" s="410"/>
      <c r="Y8" s="411">
        <f>SUM(U8:X8)</f>
        <v>18</v>
      </c>
      <c r="Z8" s="446"/>
      <c r="AA8" s="447"/>
      <c r="AB8" s="448"/>
      <c r="AC8" s="40">
        <f>IF(B8="",0,IF(E8="",0,IF(SUMIF($B$8:$B$47,B8,$I$8:$I$47)=0,0,IF(E8="Obligatoire",AD8/I8,IF(F8="",AD8/SUMIF($B$8:$B$47,B8,$I$8:$I$47),AD8/(SUMIF($B$8:$B$47,B8,$I$8:$I$47)/F8))))))</f>
        <v>18</v>
      </c>
      <c r="AD8" s="412">
        <f>H8*I8</f>
        <v>342</v>
      </c>
    </row>
    <row r="9" spans="1:30" ht="16.5" thickBot="1">
      <c r="A9" s="477"/>
      <c r="B9" s="402" t="s">
        <v>38</v>
      </c>
      <c r="C9" s="378" t="s">
        <v>39</v>
      </c>
      <c r="D9" s="371" t="s">
        <v>34</v>
      </c>
      <c r="E9" s="34" t="s">
        <v>35</v>
      </c>
      <c r="F9" s="25"/>
      <c r="G9" s="413" t="s">
        <v>36</v>
      </c>
      <c r="H9" s="29">
        <v>18</v>
      </c>
      <c r="I9" s="410">
        <v>19</v>
      </c>
      <c r="J9" s="406">
        <v>19</v>
      </c>
      <c r="K9" s="35" t="s">
        <v>37</v>
      </c>
      <c r="L9" s="444"/>
      <c r="M9" s="444"/>
      <c r="N9" s="444"/>
      <c r="O9" s="445"/>
      <c r="P9" s="347">
        <f>IF(OR(J9="",G9=Paramétrage!$D$9,G9=Paramétrage!$D$12,G9=Paramétrage!$D$15,G9=Paramétrage!$D$18,G9=Paramétrage!$D$22,G9=Paramétrage!$D$25,AND(G9&lt;&gt;Paramétrage!$D$9,K9="Mut+ext")),0,ROUNDUP(I9/J9,0))</f>
        <v>1</v>
      </c>
      <c r="Q9" s="407">
        <f>IF(OR(G9="",K9="Mut+ext"),0,IF(VLOOKUP(G9,Paramétrage!$D$6:$F$27,3,0)=0,0,IF(J9="","saisir capacité",H9*P9*VLOOKUP(G9,Paramétrage!$D$6:$F$27,2,0))))</f>
        <v>18</v>
      </c>
      <c r="R9" s="414"/>
      <c r="S9" s="409">
        <f t="shared" ref="S9:S70" si="1">IF(OR(G9="",K9="Mut+ext"),0,IF(ISERROR(Q9+R9)=TRUE,Q9,Q9+R9))</f>
        <v>18</v>
      </c>
      <c r="T9" s="23">
        <f>IF(G9="",0,IF(ISERROR(R9+Q9*VLOOKUP(G9,Paramétrage!$D$6:$F$27,3,0))=TRUE,S9,R9+Q9*VLOOKUP(G9,Paramétrage!$D$6:$F$27,3,0)))</f>
        <v>27</v>
      </c>
      <c r="U9" s="410"/>
      <c r="V9" s="410"/>
      <c r="W9" s="410">
        <v>18</v>
      </c>
      <c r="X9" s="410"/>
      <c r="Y9" s="411">
        <f t="shared" ref="Y9:Y27" si="2">SUM(U9:X9)</f>
        <v>18</v>
      </c>
      <c r="Z9" s="443"/>
      <c r="AA9" s="444"/>
      <c r="AB9" s="445"/>
      <c r="AC9" s="22">
        <f>IF(B9="",0,IF(E9="",0,IF(SUMIF($B$8:$B$47,B9,$I$8:$I$47)=0,0,IF(E9="Obligatoire",AD9/I9,IF(F9="",AD9/SUMIF($B$8:$B$47,B9,$I$8:$I$47),AD9/(SUMIF($B$8:$B$47,B9,$I$8:$I$47)/F9))))))</f>
        <v>18</v>
      </c>
      <c r="AD9" s="415">
        <f>H9*I9</f>
        <v>342</v>
      </c>
    </row>
    <row r="10" spans="1:30" ht="16.5" thickBot="1">
      <c r="A10" s="477"/>
      <c r="B10" s="402" t="s">
        <v>40</v>
      </c>
      <c r="C10" s="379" t="s">
        <v>41</v>
      </c>
      <c r="D10" s="371" t="s">
        <v>34</v>
      </c>
      <c r="E10" s="34" t="s">
        <v>35</v>
      </c>
      <c r="F10" s="25"/>
      <c r="G10" s="413" t="s">
        <v>36</v>
      </c>
      <c r="H10" s="29">
        <v>18</v>
      </c>
      <c r="I10" s="410">
        <v>19</v>
      </c>
      <c r="J10" s="406">
        <v>19</v>
      </c>
      <c r="K10" s="35" t="s">
        <v>37</v>
      </c>
      <c r="L10" s="444"/>
      <c r="M10" s="444"/>
      <c r="N10" s="444"/>
      <c r="O10" s="445"/>
      <c r="P10" s="347">
        <f>IF(OR(J10="",G10=Paramétrage!$D$9,G10=Paramétrage!$D$12,G10=Paramétrage!$D$15,G10=Paramétrage!$D$18,G10=Paramétrage!$D$22,G10=Paramétrage!$D$25,AND(G10&lt;&gt;Paramétrage!$D$9,K10="Mut+ext")),0,ROUNDUP(I10/J10,0))</f>
        <v>1</v>
      </c>
      <c r="Q10" s="407">
        <f>IF(OR(G10="",K10="Mut+ext"),0,IF(VLOOKUP(G10,Paramétrage!$D$6:$F$27,3,0)=0,0,IF(J10="","saisir capacité",H10*P10*VLOOKUP(G10,Paramétrage!$D$6:$F$27,2,0))))</f>
        <v>18</v>
      </c>
      <c r="R10" s="414"/>
      <c r="S10" s="409">
        <f t="shared" si="1"/>
        <v>18</v>
      </c>
      <c r="T10" s="23">
        <f>IF(G10="",0,IF(ISERROR(R10+Q10*VLOOKUP(G10,Paramétrage!$D$6:$F$27,3,0))=TRUE,S10,R10+Q10*VLOOKUP(G10,Paramétrage!$D$6:$F$27,3,0)))</f>
        <v>27</v>
      </c>
      <c r="U10" s="410"/>
      <c r="V10" s="410"/>
      <c r="W10" s="384">
        <v>18</v>
      </c>
      <c r="X10" s="410"/>
      <c r="Y10" s="411">
        <f t="shared" si="2"/>
        <v>18</v>
      </c>
      <c r="Z10" s="443"/>
      <c r="AA10" s="444"/>
      <c r="AB10" s="445"/>
      <c r="AC10" s="22">
        <f t="shared" ref="AC10:AC47" si="3">IF(B10="",0,IF(E10="",0,IF(SUMIF($B$8:$B$47,B10,$I$8:$I$47)=0,0,IF(E10="Obligatoire",AD10/I10,IF(F10="",AD10/SUMIF($B$8:$B$47,B10,$I$8:$I$47),AD10/(SUMIF($B$8:$B$47,B10,$I$8:$I$47)/F10))))))</f>
        <v>18</v>
      </c>
      <c r="AD10" s="415">
        <f>H10*I10</f>
        <v>342</v>
      </c>
    </row>
    <row r="11" spans="1:30" ht="16.5" thickBot="1">
      <c r="A11" s="477"/>
      <c r="B11" s="402" t="s">
        <v>42</v>
      </c>
      <c r="C11" s="380" t="s">
        <v>43</v>
      </c>
      <c r="D11" s="24" t="s">
        <v>34</v>
      </c>
      <c r="E11" s="34" t="s">
        <v>35</v>
      </c>
      <c r="F11" s="25"/>
      <c r="G11" s="413" t="s">
        <v>36</v>
      </c>
      <c r="H11" s="29">
        <v>21</v>
      </c>
      <c r="I11" s="410">
        <v>19</v>
      </c>
      <c r="J11" s="406">
        <v>19</v>
      </c>
      <c r="K11" s="35" t="s">
        <v>44</v>
      </c>
      <c r="L11" s="444" t="s">
        <v>45</v>
      </c>
      <c r="M11" s="444"/>
      <c r="N11" s="444"/>
      <c r="O11" s="445"/>
      <c r="P11" s="347">
        <f>IF(OR(J11="",G11=Paramétrage!$D$9,G11=Paramétrage!$D$12,G11=Paramétrage!$D$15,G11=Paramétrage!$D$18,G11=Paramétrage!$D$22,G11=Paramétrage!$D$25,AND(G11&lt;&gt;Paramétrage!$D$9,K11="Mut+ext")),0,ROUNDUP(I11/J11,0))</f>
        <v>0</v>
      </c>
      <c r="Q11" s="407">
        <f>IF(OR(G11="",K11="Mut+ext"),0,IF(VLOOKUP(G11,Paramétrage!$D$6:$F$27,3,0)=0,0,IF(J11="","saisir capacité",H11*P11*VLOOKUP(G11,Paramétrage!$D$6:$F$27,2,0))))</f>
        <v>0</v>
      </c>
      <c r="R11" s="414"/>
      <c r="S11" s="409">
        <f t="shared" si="1"/>
        <v>0</v>
      </c>
      <c r="T11" s="23">
        <f>IF(G11="",0,IF(ISERROR(R11+Q11*VLOOKUP(G11,Paramétrage!$D$6:$F$27,3,0))=TRUE,S11,R11+Q11*VLOOKUP(G11,Paramétrage!$D$6:$F$27,3,0)))</f>
        <v>0</v>
      </c>
      <c r="U11" s="410"/>
      <c r="V11" s="410"/>
      <c r="W11" s="385"/>
      <c r="X11" s="410"/>
      <c r="Y11" s="411">
        <f t="shared" si="2"/>
        <v>0</v>
      </c>
      <c r="Z11" s="443"/>
      <c r="AA11" s="444"/>
      <c r="AB11" s="445"/>
      <c r="AC11" s="22">
        <f t="shared" si="3"/>
        <v>21</v>
      </c>
      <c r="AD11" s="415">
        <f>H11*I11</f>
        <v>399</v>
      </c>
    </row>
    <row r="12" spans="1:30" ht="16.5" thickBot="1">
      <c r="A12" s="477"/>
      <c r="B12" s="402" t="s">
        <v>46</v>
      </c>
      <c r="C12" s="380" t="s">
        <v>47</v>
      </c>
      <c r="D12" s="24" t="s">
        <v>34</v>
      </c>
      <c r="E12" s="34" t="s">
        <v>35</v>
      </c>
      <c r="F12" s="25"/>
      <c r="G12" s="413" t="s">
        <v>48</v>
      </c>
      <c r="H12" s="29">
        <v>20</v>
      </c>
      <c r="I12" s="410">
        <v>19</v>
      </c>
      <c r="J12" s="406">
        <v>19</v>
      </c>
      <c r="K12" s="35" t="s">
        <v>37</v>
      </c>
      <c r="L12" s="444"/>
      <c r="M12" s="444"/>
      <c r="N12" s="444"/>
      <c r="O12" s="445"/>
      <c r="P12" s="347">
        <f>IF(OR(J12="",G12=Paramétrage!$D$9,G12=Paramétrage!$D$12,G12=Paramétrage!$D$15,G12=Paramétrage!$D$18,G12=Paramétrage!$D$22,G12=Paramétrage!$D$25,AND(G12&lt;&gt;Paramétrage!$D$9,K12="Mut+ext")),0,ROUNDUP(I12/J12,0))</f>
        <v>1</v>
      </c>
      <c r="Q12" s="407">
        <f>IF(OR(G12="",K12="Mut+ext"),0,IF(VLOOKUP(G12,Paramétrage!$D$6:$F$27,3,0)=0,0,IF(J12="","saisir capacité",H12*P12*VLOOKUP(G12,Paramétrage!$D$6:$F$27,2,0))))</f>
        <v>20</v>
      </c>
      <c r="R12" s="414"/>
      <c r="S12" s="409">
        <f t="shared" si="1"/>
        <v>20</v>
      </c>
      <c r="T12" s="23">
        <f>IF(G12="",0,IF(ISERROR(R12+Q12*VLOOKUP(G12,Paramétrage!$D$6:$F$27,3,0))=TRUE,S12,R12+Q12*VLOOKUP(G12,Paramétrage!$D$6:$F$27,3,0)))</f>
        <v>20</v>
      </c>
      <c r="U12" s="410">
        <v>20</v>
      </c>
      <c r="V12" s="410"/>
      <c r="W12" s="384"/>
      <c r="X12" s="410"/>
      <c r="Y12" s="411">
        <f t="shared" si="2"/>
        <v>20</v>
      </c>
      <c r="Z12" s="443"/>
      <c r="AA12" s="444"/>
      <c r="AB12" s="445"/>
      <c r="AC12" s="22">
        <f t="shared" si="3"/>
        <v>20</v>
      </c>
      <c r="AD12" s="415">
        <f t="shared" ref="AD12:AD23" si="4">H12*I12</f>
        <v>380</v>
      </c>
    </row>
    <row r="13" spans="1:30">
      <c r="A13" s="477"/>
      <c r="B13" s="402" t="s">
        <v>49</v>
      </c>
      <c r="C13" s="381" t="s">
        <v>50</v>
      </c>
      <c r="D13" s="24" t="s">
        <v>34</v>
      </c>
      <c r="E13" s="34" t="s">
        <v>35</v>
      </c>
      <c r="F13" s="25"/>
      <c r="G13" s="413" t="s">
        <v>48</v>
      </c>
      <c r="H13" s="439">
        <v>18</v>
      </c>
      <c r="I13" s="410">
        <v>19</v>
      </c>
      <c r="J13" s="406">
        <v>19</v>
      </c>
      <c r="K13" s="35" t="s">
        <v>37</v>
      </c>
      <c r="L13" s="444"/>
      <c r="M13" s="444"/>
      <c r="N13" s="444"/>
      <c r="O13" s="445"/>
      <c r="P13" s="347">
        <f>IF(OR(J13="",G13=Paramétrage!$D$9,G13=Paramétrage!$D$12,G13=Paramétrage!$D$15,G13=Paramétrage!$D$18,G13=Paramétrage!$D$22,G13=Paramétrage!$D$25,AND(G13&lt;&gt;Paramétrage!$D$9,K13="Mut+ext")),0,ROUNDUP(I13/J13,0))</f>
        <v>1</v>
      </c>
      <c r="Q13" s="407">
        <f>IF(OR(G13="",K13="Mut+ext"),0,IF(VLOOKUP(G13,Paramétrage!$D$6:$F$27,3,0)=0,0,IF(J13="","saisir capacité",H13*P13*VLOOKUP(G13,Paramétrage!$D$6:$F$27,2,0))))</f>
        <v>18</v>
      </c>
      <c r="R13" s="414"/>
      <c r="S13" s="409">
        <f t="shared" si="1"/>
        <v>18</v>
      </c>
      <c r="T13" s="23">
        <f>IF(G13="",0,IF(ISERROR(R13+Q13*VLOOKUP(G13,Paramétrage!$D$6:$F$27,3,0))=TRUE,S13,R13+Q13*VLOOKUP(G13,Paramétrage!$D$6:$F$27,3,0)))</f>
        <v>18</v>
      </c>
      <c r="U13" s="440">
        <v>18</v>
      </c>
      <c r="V13" s="410"/>
      <c r="W13" s="385"/>
      <c r="X13" s="410"/>
      <c r="Y13" s="411">
        <f t="shared" si="2"/>
        <v>18</v>
      </c>
      <c r="Z13" s="443"/>
      <c r="AA13" s="444"/>
      <c r="AB13" s="445"/>
      <c r="AC13" s="22">
        <f t="shared" si="3"/>
        <v>18</v>
      </c>
      <c r="AD13" s="415">
        <f t="shared" si="4"/>
        <v>342</v>
      </c>
    </row>
    <row r="14" spans="1:30">
      <c r="A14" s="477"/>
      <c r="B14" s="402" t="s">
        <v>51</v>
      </c>
      <c r="C14" s="388" t="s">
        <v>52</v>
      </c>
      <c r="D14" s="24" t="s">
        <v>34</v>
      </c>
      <c r="E14" s="34" t="s">
        <v>35</v>
      </c>
      <c r="F14" s="25"/>
      <c r="G14" s="405" t="s">
        <v>36</v>
      </c>
      <c r="H14" s="29">
        <v>14</v>
      </c>
      <c r="I14" s="410">
        <v>19</v>
      </c>
      <c r="J14" s="406">
        <v>19</v>
      </c>
      <c r="K14" s="27" t="s">
        <v>37</v>
      </c>
      <c r="L14" s="444"/>
      <c r="M14" s="444"/>
      <c r="N14" s="444"/>
      <c r="O14" s="445"/>
      <c r="P14" s="347">
        <f>IF(OR(J14="",G14=Paramétrage!$D$9,G14=Paramétrage!$D$12,G14=Paramétrage!$D$15,G14=Paramétrage!$D$18,G14=Paramétrage!$D$22,G14=Paramétrage!$D$25,AND(G14&lt;&gt;Paramétrage!$D$9,K14="Mut+ext")),0,ROUNDUP(I14/J14,0))</f>
        <v>1</v>
      </c>
      <c r="Q14" s="407">
        <f>IF(OR(G14="",K14="Mut+ext"),0,IF(VLOOKUP(G14,Paramétrage!$D$6:$F$27,3,0)=0,0,IF(J14="","saisir capacité",H14*P14*VLOOKUP(G14,Paramétrage!$D$6:$F$27,2,0))))</f>
        <v>14</v>
      </c>
      <c r="R14" s="414"/>
      <c r="S14" s="409">
        <f t="shared" si="1"/>
        <v>14</v>
      </c>
      <c r="T14" s="23">
        <f>IF(G14="",0,IF(ISERROR(R14+Q14*VLOOKUP(G14,Paramétrage!$D$6:$F$27,3,0))=TRUE,S14,R14+Q14*VLOOKUP(G14,Paramétrage!$D$6:$F$27,3,0)))</f>
        <v>21</v>
      </c>
      <c r="U14" s="410">
        <v>14</v>
      </c>
      <c r="V14" s="410"/>
      <c r="W14" s="410"/>
      <c r="X14" s="410"/>
      <c r="Y14" s="411">
        <f t="shared" si="2"/>
        <v>14</v>
      </c>
      <c r="Z14" s="461" t="s">
        <v>53</v>
      </c>
      <c r="AA14" s="462"/>
      <c r="AB14" s="463"/>
      <c r="AC14" s="22">
        <f t="shared" si="3"/>
        <v>14</v>
      </c>
      <c r="AD14" s="415">
        <f t="shared" ref="AD14:AD16" si="5">H14*I14</f>
        <v>266</v>
      </c>
    </row>
    <row r="15" spans="1:30" ht="16.5" thickBot="1">
      <c r="A15" s="477"/>
      <c r="B15" s="402" t="s">
        <v>54</v>
      </c>
      <c r="C15" s="388" t="s">
        <v>52</v>
      </c>
      <c r="D15" s="24" t="s">
        <v>34</v>
      </c>
      <c r="E15" s="34" t="s">
        <v>35</v>
      </c>
      <c r="F15" s="25"/>
      <c r="G15" s="405" t="s">
        <v>48</v>
      </c>
      <c r="H15" s="29">
        <v>6</v>
      </c>
      <c r="I15" s="410">
        <v>19</v>
      </c>
      <c r="J15" s="406">
        <v>19</v>
      </c>
      <c r="K15" s="27" t="s">
        <v>37</v>
      </c>
      <c r="L15" s="444"/>
      <c r="M15" s="444"/>
      <c r="N15" s="444"/>
      <c r="O15" s="445"/>
      <c r="P15" s="347">
        <f>IF(OR(J15="",G15=Paramétrage!$D$9,G15=Paramétrage!$D$12,G15=Paramétrage!$D$15,G15=Paramétrage!$D$18,G15=Paramétrage!$D$22,G15=Paramétrage!$D$25,AND(G15&lt;&gt;Paramétrage!$D$9,K15="Mut+ext")),0,ROUNDUP(I15/J15,0))</f>
        <v>1</v>
      </c>
      <c r="Q15" s="407">
        <f>IF(OR(G15="",K15="Mut+ext"),0,IF(VLOOKUP(G15,Paramétrage!$D$6:$F$27,3,0)=0,0,IF(J15="","saisir capacité",H15*P15*VLOOKUP(G15,Paramétrage!$D$6:$F$27,2,0))))</f>
        <v>6</v>
      </c>
      <c r="R15" s="414"/>
      <c r="S15" s="409">
        <f t="shared" si="1"/>
        <v>6</v>
      </c>
      <c r="T15" s="23">
        <f>IF(G15="",0,IF(ISERROR(R15+Q15*VLOOKUP(G15,Paramétrage!$D$6:$F$27,3,0))=TRUE,S15,R15+Q15*VLOOKUP(G15,Paramétrage!$D$6:$F$27,3,0)))</f>
        <v>6</v>
      </c>
      <c r="U15" s="410">
        <v>6</v>
      </c>
      <c r="V15" s="410"/>
      <c r="W15" s="410"/>
      <c r="X15" s="410"/>
      <c r="Y15" s="411">
        <f t="shared" si="2"/>
        <v>6</v>
      </c>
      <c r="Z15" s="443"/>
      <c r="AA15" s="444"/>
      <c r="AB15" s="445"/>
      <c r="AC15" s="22">
        <f t="shared" si="3"/>
        <v>6</v>
      </c>
      <c r="AD15" s="415">
        <f t="shared" si="5"/>
        <v>114</v>
      </c>
    </row>
    <row r="16" spans="1:30">
      <c r="A16" s="477"/>
      <c r="B16" s="402" t="s">
        <v>55</v>
      </c>
      <c r="C16" s="388" t="s">
        <v>56</v>
      </c>
      <c r="D16" s="24" t="s">
        <v>34</v>
      </c>
      <c r="E16" s="34" t="s">
        <v>35</v>
      </c>
      <c r="F16" s="25"/>
      <c r="G16" s="413" t="s">
        <v>36</v>
      </c>
      <c r="H16" s="29">
        <v>14</v>
      </c>
      <c r="I16" s="410">
        <v>19</v>
      </c>
      <c r="J16" s="406">
        <v>19</v>
      </c>
      <c r="K16" s="27" t="s">
        <v>37</v>
      </c>
      <c r="L16" s="444"/>
      <c r="M16" s="444"/>
      <c r="N16" s="444"/>
      <c r="O16" s="445"/>
      <c r="P16" s="347">
        <f>IF(OR(J16="",G16=Paramétrage!$D$9,G16=Paramétrage!$D$12,G16=Paramétrage!$D$15,G16=Paramétrage!$D$18,G16=Paramétrage!$D$22,G16=Paramétrage!$D$25,AND(G16&lt;&gt;Paramétrage!$D$9,K16="Mut+ext")),0,ROUNDUP(I16/J16,0))</f>
        <v>1</v>
      </c>
      <c r="Q16" s="407">
        <f>IF(OR(G16="",K16="Mut+ext"),0,IF(VLOOKUP(G16,Paramétrage!$D$6:$F$27,3,0)=0,0,IF(J16="","saisir capacité",H16*P16*VLOOKUP(G16,Paramétrage!$D$6:$F$27,2,0))))</f>
        <v>14</v>
      </c>
      <c r="R16" s="414"/>
      <c r="S16" s="409">
        <f t="shared" si="1"/>
        <v>14</v>
      </c>
      <c r="T16" s="23">
        <f>IF(G16="",0,IF(ISERROR(R16+Q16*VLOOKUP(G16,Paramétrage!$D$6:$F$27,3,0))=TRUE,S16,R16+Q16*VLOOKUP(G16,Paramétrage!$D$6:$F$27,3,0)))</f>
        <v>21</v>
      </c>
      <c r="U16" s="384">
        <v>14</v>
      </c>
      <c r="V16" s="410"/>
      <c r="W16" s="410"/>
      <c r="X16" s="410"/>
      <c r="Y16" s="411">
        <f t="shared" si="2"/>
        <v>14</v>
      </c>
      <c r="Z16" s="443"/>
      <c r="AA16" s="444"/>
      <c r="AB16" s="445"/>
      <c r="AC16" s="22">
        <f t="shared" si="3"/>
        <v>14</v>
      </c>
      <c r="AD16" s="415">
        <f t="shared" si="5"/>
        <v>266</v>
      </c>
    </row>
    <row r="17" spans="1:30" ht="16.5" thickBot="1">
      <c r="A17" s="477"/>
      <c r="B17" s="402" t="s">
        <v>57</v>
      </c>
      <c r="C17" s="388" t="s">
        <v>56</v>
      </c>
      <c r="D17" s="24" t="s">
        <v>34</v>
      </c>
      <c r="E17" s="34" t="s">
        <v>35</v>
      </c>
      <c r="F17" s="25"/>
      <c r="G17" s="413" t="s">
        <v>48</v>
      </c>
      <c r="H17" s="29">
        <v>6</v>
      </c>
      <c r="I17" s="405">
        <v>19</v>
      </c>
      <c r="J17" s="406">
        <v>19</v>
      </c>
      <c r="K17" s="27" t="s">
        <v>37</v>
      </c>
      <c r="L17" s="444"/>
      <c r="M17" s="444"/>
      <c r="N17" s="444"/>
      <c r="O17" s="445"/>
      <c r="P17" s="347">
        <f>IF(OR(J17="",G17=Paramétrage!$D$9,G17=Paramétrage!$D$12,G17=Paramétrage!$D$15,G17=Paramétrage!$D$18,G17=Paramétrage!$D$22,G17=Paramétrage!$D$25,AND(G17&lt;&gt;Paramétrage!$D$9,K17="Mut+ext")),0,ROUNDUP(I17/J17,0))</f>
        <v>1</v>
      </c>
      <c r="Q17" s="407">
        <f>IF(OR(G17="",K17="Mut+ext"),0,IF(VLOOKUP(G17,Paramétrage!$D$6:$F$27,3,0)=0,0,IF(J17="","saisir capacité",H17*P17*VLOOKUP(G17,Paramétrage!$D$6:$F$27,2,0))))</f>
        <v>6</v>
      </c>
      <c r="R17" s="414"/>
      <c r="S17" s="409">
        <f t="shared" si="1"/>
        <v>6</v>
      </c>
      <c r="T17" s="23">
        <f>IF(G17="",0,IF(ISERROR(R17+Q17*VLOOKUP(G17,Paramétrage!$D$6:$F$27,3,0))=TRUE,S17,R17+Q17*VLOOKUP(G17,Paramétrage!$D$6:$F$27,3,0)))</f>
        <v>6</v>
      </c>
      <c r="U17" s="385"/>
      <c r="V17" s="410"/>
      <c r="W17" s="410">
        <v>6</v>
      </c>
      <c r="X17" s="410"/>
      <c r="Y17" s="411">
        <f t="shared" si="2"/>
        <v>6</v>
      </c>
      <c r="Z17" s="443"/>
      <c r="AA17" s="444"/>
      <c r="AB17" s="445"/>
      <c r="AC17" s="22">
        <f t="shared" si="3"/>
        <v>6</v>
      </c>
      <c r="AD17" s="415">
        <f t="shared" si="4"/>
        <v>114</v>
      </c>
    </row>
    <row r="18" spans="1:30">
      <c r="A18" s="477"/>
      <c r="B18" s="402" t="s">
        <v>58</v>
      </c>
      <c r="C18" s="389" t="s">
        <v>59</v>
      </c>
      <c r="D18" s="24" t="s">
        <v>34</v>
      </c>
      <c r="E18" s="34" t="s">
        <v>35</v>
      </c>
      <c r="F18" s="25"/>
      <c r="G18" s="413" t="s">
        <v>36</v>
      </c>
      <c r="H18" s="29">
        <v>14</v>
      </c>
      <c r="I18" s="410">
        <v>19</v>
      </c>
      <c r="J18" s="406">
        <v>19</v>
      </c>
      <c r="K18" s="27" t="s">
        <v>37</v>
      </c>
      <c r="L18" s="444"/>
      <c r="M18" s="444"/>
      <c r="N18" s="444"/>
      <c r="O18" s="445"/>
      <c r="P18" s="347">
        <f>IF(OR(J18="",G18=Paramétrage!$D$9,G18=Paramétrage!$D$12,G18=Paramétrage!$D$15,G18=Paramétrage!$D$18,G18=Paramétrage!$D$22,G18=Paramétrage!$D$25,AND(G18&lt;&gt;Paramétrage!$D$9,K18="Mut+ext")),0,ROUNDUP(I18/J18,0))</f>
        <v>1</v>
      </c>
      <c r="Q18" s="407">
        <f>IF(OR(G18="",K18="Mut+ext"),0,IF(VLOOKUP(G18,Paramétrage!$D$6:$F$27,3,0)=0,0,IF(J18="","saisir capacité",H18*P18*VLOOKUP(G18,Paramétrage!$D$6:$F$27,2,0))))</f>
        <v>14</v>
      </c>
      <c r="R18" s="414"/>
      <c r="S18" s="409">
        <f t="shared" si="1"/>
        <v>14</v>
      </c>
      <c r="T18" s="23">
        <f>IF(G18="",0,IF(ISERROR(R18+Q18*VLOOKUP(G18,Paramétrage!$D$6:$F$27,3,0))=TRUE,S18,R18+Q18*VLOOKUP(G18,Paramétrage!$D$6:$F$27,3,0)))</f>
        <v>21</v>
      </c>
      <c r="U18" s="384"/>
      <c r="V18" s="410"/>
      <c r="W18" s="410">
        <v>14</v>
      </c>
      <c r="X18" s="410"/>
      <c r="Y18" s="411">
        <f t="shared" si="2"/>
        <v>14</v>
      </c>
      <c r="Z18" s="443"/>
      <c r="AA18" s="444"/>
      <c r="AB18" s="445"/>
      <c r="AC18" s="22">
        <f t="shared" si="3"/>
        <v>14</v>
      </c>
      <c r="AD18" s="415">
        <f t="shared" si="4"/>
        <v>266</v>
      </c>
    </row>
    <row r="19" spans="1:30" ht="16.5" thickBot="1">
      <c r="A19" s="477"/>
      <c r="B19" s="402" t="s">
        <v>60</v>
      </c>
      <c r="C19" s="389" t="s">
        <v>59</v>
      </c>
      <c r="D19" s="24" t="s">
        <v>34</v>
      </c>
      <c r="E19" s="34" t="s">
        <v>35</v>
      </c>
      <c r="F19" s="25"/>
      <c r="G19" s="413" t="s">
        <v>48</v>
      </c>
      <c r="H19" s="29">
        <v>6</v>
      </c>
      <c r="I19" s="410">
        <v>19</v>
      </c>
      <c r="J19" s="406">
        <v>19</v>
      </c>
      <c r="K19" s="27" t="s">
        <v>37</v>
      </c>
      <c r="L19" s="444"/>
      <c r="M19" s="444"/>
      <c r="N19" s="444"/>
      <c r="O19" s="445"/>
      <c r="P19" s="347">
        <f>IF(OR(J19="",G19=Paramétrage!$D$9,G19=Paramétrage!$D$12,G19=Paramétrage!$D$15,G19=Paramétrage!$D$18,G19=Paramétrage!$D$22,G19=Paramétrage!$D$25,AND(G19&lt;&gt;Paramétrage!$D$9,K19="Mut+ext")),0,ROUNDUP(I19/J19,0))</f>
        <v>1</v>
      </c>
      <c r="Q19" s="407">
        <f>IF(OR(G19="",K19="Mut+ext"),0,IF(VLOOKUP(G19,Paramétrage!$D$6:$F$27,3,0)=0,0,IF(J19="","saisir capacité",H19*P19*VLOOKUP(G19,Paramétrage!$D$6:$F$27,2,0))))</f>
        <v>6</v>
      </c>
      <c r="R19" s="414"/>
      <c r="S19" s="409">
        <f t="shared" si="1"/>
        <v>6</v>
      </c>
      <c r="T19" s="23">
        <f>IF(G19="",0,IF(ISERROR(R19+Q19*VLOOKUP(G19,Paramétrage!$D$6:$F$27,3,0))=TRUE,S19,R19+Q19*VLOOKUP(G19,Paramétrage!$D$6:$F$27,3,0)))</f>
        <v>6</v>
      </c>
      <c r="U19" s="385"/>
      <c r="V19" s="410"/>
      <c r="W19" s="410">
        <v>6</v>
      </c>
      <c r="X19" s="410"/>
      <c r="Y19" s="411">
        <f t="shared" si="2"/>
        <v>6</v>
      </c>
      <c r="Z19" s="443"/>
      <c r="AA19" s="444"/>
      <c r="AB19" s="445"/>
      <c r="AC19" s="22">
        <f t="shared" si="3"/>
        <v>6</v>
      </c>
      <c r="AD19" s="415">
        <f t="shared" si="4"/>
        <v>114</v>
      </c>
    </row>
    <row r="20" spans="1:30">
      <c r="A20" s="477"/>
      <c r="B20" s="402" t="s">
        <v>61</v>
      </c>
      <c r="C20" s="390" t="s">
        <v>62</v>
      </c>
      <c r="D20" s="24" t="s">
        <v>34</v>
      </c>
      <c r="E20" s="34" t="s">
        <v>35</v>
      </c>
      <c r="F20" s="25"/>
      <c r="G20" s="405" t="s">
        <v>36</v>
      </c>
      <c r="H20" s="29">
        <v>14</v>
      </c>
      <c r="I20" s="410">
        <v>19</v>
      </c>
      <c r="J20" s="406">
        <v>19</v>
      </c>
      <c r="K20" s="27" t="s">
        <v>37</v>
      </c>
      <c r="L20" s="444"/>
      <c r="M20" s="444"/>
      <c r="N20" s="444"/>
      <c r="O20" s="445"/>
      <c r="P20" s="347">
        <f>IF(OR(J20="",G20=Paramétrage!$D$9,G20=Paramétrage!$D$12,G20=Paramétrage!$D$15,G20=Paramétrage!$D$18,G20=Paramétrage!$D$22,G20=Paramétrage!$D$25,AND(G20&lt;&gt;Paramétrage!$D$9,K20="Mut+ext")),0,ROUNDUP(I20/J20,0))</f>
        <v>1</v>
      </c>
      <c r="Q20" s="407">
        <f>IF(OR(G20="",K20="Mut+ext"),0,IF(VLOOKUP(G20,Paramétrage!$D$6:$F$27,3,0)=0,0,IF(J20="","saisir capacité",H20*P20*VLOOKUP(G20,Paramétrage!$D$6:$F$27,2,0))))</f>
        <v>14</v>
      </c>
      <c r="R20" s="414"/>
      <c r="S20" s="409">
        <f t="shared" si="1"/>
        <v>14</v>
      </c>
      <c r="T20" s="23">
        <f>IF(G20="",0,IF(ISERROR(R20+Q20*VLOOKUP(G20,Paramétrage!$D$6:$F$27,3,0))=TRUE,S20,R20+Q20*VLOOKUP(G20,Paramétrage!$D$6:$F$27,3,0)))</f>
        <v>21</v>
      </c>
      <c r="U20" s="384">
        <v>14</v>
      </c>
      <c r="V20" s="410"/>
      <c r="W20" s="410"/>
      <c r="X20" s="410"/>
      <c r="Y20" s="411">
        <f t="shared" si="2"/>
        <v>14</v>
      </c>
      <c r="Z20" s="443"/>
      <c r="AA20" s="444"/>
      <c r="AB20" s="445"/>
      <c r="AC20" s="22">
        <f t="shared" si="3"/>
        <v>14</v>
      </c>
      <c r="AD20" s="415">
        <f t="shared" si="4"/>
        <v>266</v>
      </c>
    </row>
    <row r="21" spans="1:30" ht="16.5" thickBot="1">
      <c r="A21" s="477"/>
      <c r="B21" s="402" t="s">
        <v>63</v>
      </c>
      <c r="C21" s="390" t="s">
        <v>62</v>
      </c>
      <c r="D21" s="24" t="s">
        <v>34</v>
      </c>
      <c r="E21" s="34" t="s">
        <v>35</v>
      </c>
      <c r="F21" s="25"/>
      <c r="G21" s="405" t="s">
        <v>48</v>
      </c>
      <c r="H21" s="29">
        <v>6</v>
      </c>
      <c r="I21" s="410">
        <v>19</v>
      </c>
      <c r="J21" s="406">
        <v>19</v>
      </c>
      <c r="K21" s="27" t="s">
        <v>37</v>
      </c>
      <c r="L21" s="444"/>
      <c r="M21" s="444"/>
      <c r="N21" s="444"/>
      <c r="O21" s="445"/>
      <c r="P21" s="347">
        <f>IF(OR(J21="",G21=Paramétrage!$D$9,G21=Paramétrage!$D$12,G21=Paramétrage!$D$15,G21=Paramétrage!$D$18,G21=Paramétrage!$D$22,G21=Paramétrage!$D$25,AND(G21&lt;&gt;Paramétrage!$D$9,K21="Mut+ext")),0,ROUNDUP(I21/J21,0))</f>
        <v>1</v>
      </c>
      <c r="Q21" s="407">
        <f>IF(OR(G21="",K21="Mut+ext"),0,IF(VLOOKUP(G21,Paramétrage!$D$6:$F$27,3,0)=0,0,IF(J21="","saisir capacité",H21*P21*VLOOKUP(G21,Paramétrage!$D$6:$F$27,2,0))))</f>
        <v>6</v>
      </c>
      <c r="R21" s="414"/>
      <c r="S21" s="409">
        <f t="shared" si="1"/>
        <v>6</v>
      </c>
      <c r="T21" s="23">
        <f>IF(G21="",0,IF(ISERROR(R21+Q21*VLOOKUP(G21,Paramétrage!$D$6:$F$27,3,0))=TRUE,S21,R21+Q21*VLOOKUP(G21,Paramétrage!$D$6:$F$27,3,0)))</f>
        <v>6</v>
      </c>
      <c r="U21" s="385"/>
      <c r="V21" s="410"/>
      <c r="W21" s="410">
        <v>6</v>
      </c>
      <c r="X21" s="410"/>
      <c r="Y21" s="411">
        <f t="shared" si="2"/>
        <v>6</v>
      </c>
      <c r="Z21" s="443"/>
      <c r="AA21" s="444"/>
      <c r="AB21" s="445"/>
      <c r="AC21" s="22">
        <f t="shared" si="3"/>
        <v>6</v>
      </c>
      <c r="AD21" s="415">
        <f t="shared" si="4"/>
        <v>114</v>
      </c>
    </row>
    <row r="22" spans="1:30">
      <c r="A22" s="477"/>
      <c r="B22" s="402" t="s">
        <v>64</v>
      </c>
      <c r="C22" s="391" t="s">
        <v>65</v>
      </c>
      <c r="D22" s="24" t="s">
        <v>34</v>
      </c>
      <c r="E22" s="34" t="s">
        <v>35</v>
      </c>
      <c r="F22" s="25"/>
      <c r="G22" s="413" t="s">
        <v>36</v>
      </c>
      <c r="H22" s="29">
        <v>14</v>
      </c>
      <c r="I22" s="410">
        <v>19</v>
      </c>
      <c r="J22" s="406">
        <v>19</v>
      </c>
      <c r="K22" s="27" t="s">
        <v>37</v>
      </c>
      <c r="L22" s="444"/>
      <c r="M22" s="444"/>
      <c r="N22" s="444"/>
      <c r="O22" s="445"/>
      <c r="P22" s="347">
        <f>IF(OR(J22="",G22=Paramétrage!$D$9,G22=Paramétrage!$D$12,G22=Paramétrage!$D$15,G22=Paramétrage!$D$18,G22=Paramétrage!$D$22,G22=Paramétrage!$D$25,AND(G22&lt;&gt;Paramétrage!$D$9,K22="Mut+ext")),0,ROUNDUP(I22/J22,0))</f>
        <v>1</v>
      </c>
      <c r="Q22" s="407">
        <f>IF(OR(G22="",K22="Mut+ext"),0,IF(VLOOKUP(G22,Paramétrage!$D$6:$F$27,3,0)=0,0,IF(J22="","saisir capacité",H22*P22*VLOOKUP(G22,Paramétrage!$D$6:$F$27,2,0))))</f>
        <v>14</v>
      </c>
      <c r="R22" s="414"/>
      <c r="S22" s="409">
        <f t="shared" si="1"/>
        <v>14</v>
      </c>
      <c r="T22" s="23">
        <f>IF(G22="",0,IF(ISERROR(R22+Q22*VLOOKUP(G22,Paramétrage!$D$6:$F$27,3,0))=TRUE,S22,R22+Q22*VLOOKUP(G22,Paramétrage!$D$6:$F$27,3,0)))</f>
        <v>21</v>
      </c>
      <c r="U22" s="384">
        <v>14</v>
      </c>
      <c r="V22" s="410"/>
      <c r="W22" s="410"/>
      <c r="X22" s="410"/>
      <c r="Y22" s="411">
        <f t="shared" si="2"/>
        <v>14</v>
      </c>
      <c r="Z22" s="443"/>
      <c r="AA22" s="444"/>
      <c r="AB22" s="445"/>
      <c r="AC22" s="22">
        <f t="shared" si="3"/>
        <v>14</v>
      </c>
      <c r="AD22" s="415">
        <f t="shared" si="4"/>
        <v>266</v>
      </c>
    </row>
    <row r="23" spans="1:30" ht="16.5" thickBot="1">
      <c r="A23" s="477"/>
      <c r="B23" s="402" t="s">
        <v>66</v>
      </c>
      <c r="C23" s="391" t="s">
        <v>65</v>
      </c>
      <c r="D23" s="24" t="s">
        <v>34</v>
      </c>
      <c r="E23" s="34" t="s">
        <v>35</v>
      </c>
      <c r="F23" s="25"/>
      <c r="G23" s="413" t="s">
        <v>48</v>
      </c>
      <c r="H23" s="29">
        <v>6</v>
      </c>
      <c r="I23" s="410">
        <v>19</v>
      </c>
      <c r="J23" s="406">
        <v>19</v>
      </c>
      <c r="K23" s="27" t="s">
        <v>37</v>
      </c>
      <c r="L23" s="444"/>
      <c r="M23" s="444"/>
      <c r="N23" s="444"/>
      <c r="O23" s="445"/>
      <c r="P23" s="347">
        <f>IF(OR(J23="",G23=Paramétrage!$D$9,G23=Paramétrage!$D$12,G23=Paramétrage!$D$15,G23=Paramétrage!$D$18,G23=Paramétrage!$D$22,G23=Paramétrage!$D$25,AND(G23&lt;&gt;Paramétrage!$D$9,K23="Mut+ext")),0,ROUNDUP(I23/J23,0))</f>
        <v>1</v>
      </c>
      <c r="Q23" s="407">
        <f>IF(OR(G23="",K23="Mut+ext"),0,IF(VLOOKUP(G23,Paramétrage!$D$6:$F$27,3,0)=0,0,IF(J23="","saisir capacité",H23*P23*VLOOKUP(G23,Paramétrage!$D$6:$F$27,2,0))))</f>
        <v>6</v>
      </c>
      <c r="R23" s="414"/>
      <c r="S23" s="409">
        <f t="shared" si="1"/>
        <v>6</v>
      </c>
      <c r="T23" s="23">
        <f>IF(G23="",0,IF(ISERROR(R23+Q23*VLOOKUP(G23,Paramétrage!$D$6:$F$27,3,0))=TRUE,S23,R23+Q23*VLOOKUP(G23,Paramétrage!$D$6:$F$27,3,0)))</f>
        <v>6</v>
      </c>
      <c r="U23" s="385"/>
      <c r="V23" s="410"/>
      <c r="W23" s="410">
        <v>6</v>
      </c>
      <c r="X23" s="410"/>
      <c r="Y23" s="411">
        <f t="shared" si="2"/>
        <v>6</v>
      </c>
      <c r="Z23" s="443"/>
      <c r="AA23" s="444"/>
      <c r="AB23" s="445"/>
      <c r="AC23" s="22">
        <f t="shared" si="3"/>
        <v>6</v>
      </c>
      <c r="AD23" s="415">
        <f t="shared" si="4"/>
        <v>114</v>
      </c>
    </row>
    <row r="24" spans="1:30" ht="15.6" customHeight="1">
      <c r="A24" s="477"/>
      <c r="B24" s="402" t="s">
        <v>67</v>
      </c>
      <c r="C24" s="390" t="s">
        <v>68</v>
      </c>
      <c r="D24" s="24" t="s">
        <v>34</v>
      </c>
      <c r="E24" s="34" t="s">
        <v>35</v>
      </c>
      <c r="F24" s="25"/>
      <c r="G24" s="413" t="s">
        <v>36</v>
      </c>
      <c r="H24" s="29">
        <v>14</v>
      </c>
      <c r="I24" s="410">
        <v>19</v>
      </c>
      <c r="J24" s="406">
        <v>19</v>
      </c>
      <c r="K24" s="27" t="s">
        <v>37</v>
      </c>
      <c r="L24" s="444"/>
      <c r="M24" s="444"/>
      <c r="N24" s="444"/>
      <c r="O24" s="445"/>
      <c r="P24" s="347">
        <f>IF(OR(J24="",G24=Paramétrage!$D$9,G24=Paramétrage!$D$12,G24=Paramétrage!$D$15,G24=Paramétrage!$D$18,G24=Paramétrage!$D$22,G24=Paramétrage!$D$25,AND(G24&lt;&gt;Paramétrage!$D$9,K24="Mut+ext")),0,ROUNDUP(I24/J24,0))</f>
        <v>1</v>
      </c>
      <c r="Q24" s="407">
        <f>IF(OR(G24="",K24="Mut+ext"),0,IF(VLOOKUP(G24,Paramétrage!$D$6:$F$27,3,0)=0,0,IF(J24="","saisir capacité",H24*P24*VLOOKUP(G24,Paramétrage!$D$6:$F$27,2,0))))</f>
        <v>14</v>
      </c>
      <c r="R24" s="414"/>
      <c r="S24" s="409">
        <f t="shared" si="1"/>
        <v>14</v>
      </c>
      <c r="T24" s="23">
        <f>IF(G24="",0,IF(ISERROR(R24+Q24*VLOOKUP(G24,Paramétrage!$D$6:$F$27,3,0))=TRUE,S24,R24+Q24*VLOOKUP(G24,Paramétrage!$D$6:$F$27,3,0)))</f>
        <v>21</v>
      </c>
      <c r="U24" s="384"/>
      <c r="V24" s="410"/>
      <c r="W24" s="410">
        <v>14</v>
      </c>
      <c r="X24" s="410"/>
      <c r="Y24" s="411">
        <f t="shared" si="2"/>
        <v>14</v>
      </c>
      <c r="Z24" s="443"/>
      <c r="AA24" s="444"/>
      <c r="AB24" s="445"/>
      <c r="AC24" s="22">
        <f t="shared" si="3"/>
        <v>14</v>
      </c>
      <c r="AD24" s="415">
        <f t="shared" ref="AD24:AD29" si="6">H24*I24</f>
        <v>266</v>
      </c>
    </row>
    <row r="25" spans="1:30" ht="16.5" thickBot="1">
      <c r="A25" s="477"/>
      <c r="B25" s="402" t="s">
        <v>69</v>
      </c>
      <c r="C25" s="390" t="s">
        <v>68</v>
      </c>
      <c r="D25" s="24" t="s">
        <v>34</v>
      </c>
      <c r="E25" s="34" t="s">
        <v>35</v>
      </c>
      <c r="F25" s="25"/>
      <c r="G25" s="413" t="s">
        <v>48</v>
      </c>
      <c r="H25" s="29">
        <v>6</v>
      </c>
      <c r="I25" s="410">
        <v>19</v>
      </c>
      <c r="J25" s="406">
        <v>19</v>
      </c>
      <c r="K25" s="27" t="s">
        <v>37</v>
      </c>
      <c r="L25" s="444"/>
      <c r="M25" s="444"/>
      <c r="N25" s="444"/>
      <c r="O25" s="445"/>
      <c r="P25" s="347">
        <f>IF(OR(J25="",G25=Paramétrage!$D$9,G25=Paramétrage!$D$12,G25=Paramétrage!$D$15,G25=Paramétrage!$D$18,G25=Paramétrage!$D$22,G25=Paramétrage!$D$25,AND(G25&lt;&gt;Paramétrage!$D$9,K25="Mut+ext")),0,ROUNDUP(I25/J25,0))</f>
        <v>1</v>
      </c>
      <c r="Q25" s="407">
        <f>IF(OR(G25="",K25="Mut+ext"),0,IF(VLOOKUP(G25,Paramétrage!$D$6:$F$27,3,0)=0,0,IF(J25="","saisir capacité",H25*P25*VLOOKUP(G25,Paramétrage!$D$6:$F$27,2,0))))</f>
        <v>6</v>
      </c>
      <c r="R25" s="414"/>
      <c r="S25" s="409">
        <f t="shared" si="1"/>
        <v>6</v>
      </c>
      <c r="T25" s="23">
        <f>IF(G25="",0,IF(ISERROR(R25+Q25*VLOOKUP(G25,Paramétrage!$D$6:$F$27,3,0))=TRUE,S25,R25+Q25*VLOOKUP(G25,Paramétrage!$D$6:$F$27,3,0)))</f>
        <v>6</v>
      </c>
      <c r="U25" s="385"/>
      <c r="V25" s="410"/>
      <c r="W25" s="410">
        <v>6</v>
      </c>
      <c r="X25" s="416"/>
      <c r="Y25" s="411">
        <f t="shared" si="2"/>
        <v>6</v>
      </c>
      <c r="Z25" s="443"/>
      <c r="AA25" s="444"/>
      <c r="AB25" s="445"/>
      <c r="AC25" s="22">
        <f t="shared" si="3"/>
        <v>6</v>
      </c>
      <c r="AD25" s="415">
        <f t="shared" si="6"/>
        <v>114</v>
      </c>
    </row>
    <row r="26" spans="1:30">
      <c r="A26" s="477"/>
      <c r="B26" s="402" t="s">
        <v>70</v>
      </c>
      <c r="C26" s="392" t="s">
        <v>71</v>
      </c>
      <c r="D26" s="24" t="s">
        <v>34</v>
      </c>
      <c r="E26" s="34" t="s">
        <v>35</v>
      </c>
      <c r="F26" s="25"/>
      <c r="G26" s="413" t="s">
        <v>36</v>
      </c>
      <c r="H26" s="29">
        <v>6</v>
      </c>
      <c r="I26" s="410">
        <v>19</v>
      </c>
      <c r="J26" s="406">
        <v>19</v>
      </c>
      <c r="K26" s="27" t="s">
        <v>37</v>
      </c>
      <c r="L26" s="444"/>
      <c r="M26" s="444"/>
      <c r="N26" s="444"/>
      <c r="O26" s="445"/>
      <c r="P26" s="347">
        <f>IF(OR(J26="",G26=Paramétrage!$D$9,G26=Paramétrage!$D$12,G26=Paramétrage!$D$15,G26=Paramétrage!$D$18,G26=Paramétrage!$D$22,G26=Paramétrage!$D$25,AND(G26&lt;&gt;Paramétrage!$D$9,K26="Mut+ext")),0,ROUNDUP(I26/J26,0))</f>
        <v>1</v>
      </c>
      <c r="Q26" s="407">
        <f>IF(OR(G26="",K26="Mut+ext"),0,IF(VLOOKUP(G26,Paramétrage!$D$6:$F$27,3,0)=0,0,IF(J26="","saisir capacité",H26*P26*VLOOKUP(G26,Paramétrage!$D$6:$F$27,2,0))))</f>
        <v>6</v>
      </c>
      <c r="R26" s="414"/>
      <c r="S26" s="409">
        <f t="shared" si="1"/>
        <v>6</v>
      </c>
      <c r="T26" s="23">
        <f>IF(G26="",0,IF(ISERROR(R26+Q26*VLOOKUP(G26,Paramétrage!$D$6:$F$27,3,0))=TRUE,S26,R26+Q26*VLOOKUP(G26,Paramétrage!$D$6:$F$27,3,0)))</f>
        <v>9</v>
      </c>
      <c r="U26" s="384">
        <v>6</v>
      </c>
      <c r="V26" s="410"/>
      <c r="W26" s="410"/>
      <c r="X26" s="417"/>
      <c r="Y26" s="411">
        <f t="shared" si="2"/>
        <v>6</v>
      </c>
      <c r="Z26" s="443"/>
      <c r="AA26" s="444"/>
      <c r="AB26" s="445"/>
      <c r="AC26" s="22">
        <f t="shared" si="3"/>
        <v>6</v>
      </c>
      <c r="AD26" s="415">
        <f t="shared" si="6"/>
        <v>114</v>
      </c>
    </row>
    <row r="27" spans="1:30" ht="16.5" thickBot="1">
      <c r="A27" s="477"/>
      <c r="B27" s="402" t="s">
        <v>72</v>
      </c>
      <c r="C27" s="392" t="s">
        <v>71</v>
      </c>
      <c r="D27" s="24" t="s">
        <v>34</v>
      </c>
      <c r="E27" s="34" t="s">
        <v>35</v>
      </c>
      <c r="F27" s="25"/>
      <c r="G27" s="413" t="s">
        <v>48</v>
      </c>
      <c r="H27" s="29">
        <v>14</v>
      </c>
      <c r="I27" s="410">
        <v>19</v>
      </c>
      <c r="J27" s="406">
        <v>19</v>
      </c>
      <c r="K27" s="27" t="s">
        <v>37</v>
      </c>
      <c r="L27" s="444"/>
      <c r="M27" s="444"/>
      <c r="N27" s="444"/>
      <c r="O27" s="445"/>
      <c r="P27" s="347">
        <f>IF(OR(J27="",G27=Paramétrage!$D$9,G27=Paramétrage!$D$12,G27=Paramétrage!$D$15,G27=Paramétrage!$D$18,G27=Paramétrage!$D$22,G27=Paramétrage!$D$25,AND(G27&lt;&gt;Paramétrage!$D$9,K27="Mut+ext")),0,ROUNDUP(I27/J27,0))</f>
        <v>1</v>
      </c>
      <c r="Q27" s="407">
        <f>IF(OR(G27="",K27="Mut+ext"),0,IF(VLOOKUP(G27,Paramétrage!$D$6:$F$27,3,0)=0,0,IF(J27="","saisir capacité",H27*P27*VLOOKUP(G27,Paramétrage!$D$6:$F$27,2,0))))</f>
        <v>14</v>
      </c>
      <c r="R27" s="405">
        <v>10</v>
      </c>
      <c r="S27" s="418">
        <f t="shared" si="1"/>
        <v>24</v>
      </c>
      <c r="T27" s="357">
        <f>IF(G27="",0,IF(ISERROR(R27+Q27*VLOOKUP(G27,Paramétrage!$D$6:$F$27,3,0))=TRUE,S27,R27+Q27*VLOOKUP(G27,Paramétrage!$D$6:$F$27,3,0)))</f>
        <v>24</v>
      </c>
      <c r="U27" s="385">
        <v>14</v>
      </c>
      <c r="V27" s="410"/>
      <c r="W27" s="410">
        <v>10</v>
      </c>
      <c r="X27" s="417"/>
      <c r="Y27" s="419">
        <f t="shared" si="2"/>
        <v>24</v>
      </c>
      <c r="Z27" s="443" t="s">
        <v>73</v>
      </c>
      <c r="AA27" s="444"/>
      <c r="AB27" s="445"/>
      <c r="AC27" s="22">
        <f t="shared" si="3"/>
        <v>14</v>
      </c>
      <c r="AD27" s="415">
        <f t="shared" si="6"/>
        <v>266</v>
      </c>
    </row>
    <row r="28" spans="1:30" ht="15.6" customHeight="1">
      <c r="A28" s="477"/>
      <c r="B28" s="402" t="s">
        <v>74</v>
      </c>
      <c r="C28" s="392" t="s">
        <v>75</v>
      </c>
      <c r="D28" s="24" t="s">
        <v>34</v>
      </c>
      <c r="E28" s="34" t="s">
        <v>76</v>
      </c>
      <c r="F28" s="354">
        <v>2</v>
      </c>
      <c r="G28" s="413" t="s">
        <v>77</v>
      </c>
      <c r="H28" s="29">
        <v>20</v>
      </c>
      <c r="I28" s="410">
        <v>19</v>
      </c>
      <c r="J28" s="406">
        <v>19</v>
      </c>
      <c r="K28" s="27" t="s">
        <v>37</v>
      </c>
      <c r="L28" s="450"/>
      <c r="M28" s="450"/>
      <c r="N28" s="450"/>
      <c r="O28" s="451"/>
      <c r="P28" s="353">
        <f>IF(OR(J28="",G28=Paramétrage!$D$9,G28=Paramétrage!$D$12,G28=Paramétrage!$D$15,G28=Paramétrage!$D$18,G28=Paramétrage!$D$22,G28=Paramétrage!$D$25,AND(G28&lt;&gt;Paramétrage!$D$9,K28="Mut+ext")),0,ROUNDUP(I28/J28,0))</f>
        <v>1</v>
      </c>
      <c r="Q28" s="407">
        <f>IF(OR(G28="",K28="Mut+ext"),0,IF(VLOOKUP(G28,Paramétrage!$D$6:$F$27,3,0)=0,0,IF(J28="","saisir capacité",H28*P28*VLOOKUP(G28,Paramétrage!$D$6:$F$27,2,0))))</f>
        <v>20</v>
      </c>
      <c r="R28" s="420"/>
      <c r="S28" s="409">
        <f t="shared" si="1"/>
        <v>20</v>
      </c>
      <c r="T28" s="23">
        <f>IF(G28="",0,IF(ISERROR(R28+Q28*VLOOKUP(G28,Paramétrage!$D$6:$F$27,3,0))=TRUE,S28,R28+Q28*VLOOKUP(G28,Paramétrage!$D$6:$F$27,3,0)))</f>
        <v>20</v>
      </c>
      <c r="U28" s="384"/>
      <c r="V28" s="410"/>
      <c r="W28" s="410">
        <v>20</v>
      </c>
      <c r="X28" s="410"/>
      <c r="Y28" s="411">
        <f>SUM(U28:X28)</f>
        <v>20</v>
      </c>
      <c r="Z28" s="449"/>
      <c r="AA28" s="450"/>
      <c r="AB28" s="451"/>
      <c r="AC28" s="22">
        <f t="shared" si="3"/>
        <v>20</v>
      </c>
      <c r="AD28" s="412">
        <f t="shared" si="6"/>
        <v>380</v>
      </c>
    </row>
    <row r="29" spans="1:30" ht="16.5" thickBot="1">
      <c r="A29" s="477"/>
      <c r="B29" s="402" t="s">
        <v>74</v>
      </c>
      <c r="C29" s="392" t="s">
        <v>78</v>
      </c>
      <c r="D29" s="24" t="s">
        <v>34</v>
      </c>
      <c r="E29" s="34" t="s">
        <v>76</v>
      </c>
      <c r="F29" s="354">
        <v>2</v>
      </c>
      <c r="G29" s="413" t="s">
        <v>77</v>
      </c>
      <c r="H29" s="29">
        <v>20</v>
      </c>
      <c r="I29" s="410">
        <v>10</v>
      </c>
      <c r="J29" s="406">
        <v>19</v>
      </c>
      <c r="K29" s="27" t="s">
        <v>37</v>
      </c>
      <c r="L29" s="444"/>
      <c r="M29" s="444"/>
      <c r="N29" s="444"/>
      <c r="O29" s="445"/>
      <c r="P29" s="347">
        <f>IF(OR(J29="",G29=Paramétrage!$D$9,G29=Paramétrage!$D$12,G29=Paramétrage!$D$15,G29=Paramétrage!$D$18,G29=Paramétrage!$D$22,G29=Paramétrage!$D$25,AND(G29&lt;&gt;Paramétrage!$D$9,K29="Mut+ext")),0,ROUNDUP(I29/J29,0))</f>
        <v>1</v>
      </c>
      <c r="Q29" s="407">
        <f>IF(OR(G29="",K29="Mut+ext"),0,IF(VLOOKUP(G29,Paramétrage!$D$6:$F$27,3,0)=0,0,IF(J29="","saisir capacité",H29*P29*VLOOKUP(G29,Paramétrage!$D$6:$F$27,2,0))))</f>
        <v>20</v>
      </c>
      <c r="R29" s="414"/>
      <c r="S29" s="409">
        <f t="shared" si="1"/>
        <v>20</v>
      </c>
      <c r="T29" s="23">
        <f>IF(G29="",0,IF(ISERROR(R29+Q29*VLOOKUP(G29,Paramétrage!$D$6:$F$27,3,0))=TRUE,S29,R29+Q29*VLOOKUP(G29,Paramétrage!$D$6:$F$27,3,0)))</f>
        <v>20</v>
      </c>
      <c r="U29" s="385"/>
      <c r="V29" s="410"/>
      <c r="W29" s="410">
        <v>20</v>
      </c>
      <c r="X29" s="410"/>
      <c r="Y29" s="411">
        <f t="shared" ref="Y29:Y47" si="7">SUM(U29:X29)</f>
        <v>20</v>
      </c>
      <c r="Z29" s="443" t="s">
        <v>79</v>
      </c>
      <c r="AA29" s="444"/>
      <c r="AB29" s="445"/>
      <c r="AC29" s="22">
        <f t="shared" si="3"/>
        <v>10.526315789473685</v>
      </c>
      <c r="AD29" s="415">
        <f t="shared" si="6"/>
        <v>200</v>
      </c>
    </row>
    <row r="30" spans="1:30">
      <c r="A30" s="477"/>
      <c r="B30" s="402" t="s">
        <v>74</v>
      </c>
      <c r="C30" s="392" t="s">
        <v>80</v>
      </c>
      <c r="D30" s="24" t="s">
        <v>34</v>
      </c>
      <c r="E30" s="34" t="s">
        <v>76</v>
      </c>
      <c r="F30" s="354">
        <v>2</v>
      </c>
      <c r="G30" s="413" t="s">
        <v>77</v>
      </c>
      <c r="H30" s="29">
        <v>20</v>
      </c>
      <c r="I30" s="410">
        <v>9</v>
      </c>
      <c r="J30" s="406">
        <v>19</v>
      </c>
      <c r="K30" s="27" t="s">
        <v>37</v>
      </c>
      <c r="L30" s="444"/>
      <c r="M30" s="444"/>
      <c r="N30" s="444"/>
      <c r="O30" s="445"/>
      <c r="P30" s="347">
        <f>IF(OR(J30="",G30=Paramétrage!$D$9,G30=Paramétrage!$D$12,G30=Paramétrage!$D$15,G30=Paramétrage!$D$18,G30=Paramétrage!$D$22,G30=Paramétrage!$D$25,AND(G30&lt;&gt;Paramétrage!$D$9,K30="Mut+ext")),0,ROUNDUP(I30/J30,0))</f>
        <v>1</v>
      </c>
      <c r="Q30" s="407">
        <f>IF(OR(G30="",K30="Mut+ext"),0,IF(VLOOKUP(G30,Paramétrage!$D$6:$F$27,3,0)=0,0,IF(J30="","saisir capacité",H30*P30*VLOOKUP(G30,Paramétrage!$D$6:$F$27,2,0))))</f>
        <v>20</v>
      </c>
      <c r="R30" s="414"/>
      <c r="S30" s="409">
        <f t="shared" si="1"/>
        <v>20</v>
      </c>
      <c r="T30" s="23">
        <f>IF(G30="",0,IF(ISERROR(R30+Q30*VLOOKUP(G30,Paramétrage!$D$6:$F$27,3,0))=TRUE,S30,R30+Q30*VLOOKUP(G30,Paramétrage!$D$6:$F$27,3,0)))</f>
        <v>20</v>
      </c>
      <c r="U30" s="384"/>
      <c r="V30" s="410"/>
      <c r="W30" s="410">
        <v>20</v>
      </c>
      <c r="X30" s="410"/>
      <c r="Y30" s="411">
        <f t="shared" si="7"/>
        <v>20</v>
      </c>
      <c r="Z30" s="443"/>
      <c r="AA30" s="444"/>
      <c r="AB30" s="445"/>
      <c r="AC30" s="22">
        <f>IF(B30="",0,IF(E30="",0,IF(SUMIF($B$8:$B$47,B30,$I$8:$I$47)=0,0,IF(E30="Obligatoire",AD30/I30,IF(F30="",AD30/SUMIF($B$8:$B$47,B30,$I$8:$I$47),AD30/(SUMIF($B$8:$B$47,B30,$I$8:$I$47)/F30))))))</f>
        <v>9.473684210526315</v>
      </c>
      <c r="AD30" s="415">
        <f t="shared" ref="AD30:AD41" si="8">H30*I30</f>
        <v>180</v>
      </c>
    </row>
    <row r="31" spans="1:30">
      <c r="A31" s="477"/>
      <c r="B31" s="402" t="s">
        <v>81</v>
      </c>
      <c r="C31" s="401" t="s">
        <v>82</v>
      </c>
      <c r="D31" s="24" t="s">
        <v>34</v>
      </c>
      <c r="E31" s="34" t="s">
        <v>35</v>
      </c>
      <c r="F31" s="354"/>
      <c r="G31" s="413" t="s">
        <v>83</v>
      </c>
      <c r="H31" s="29">
        <v>20</v>
      </c>
      <c r="I31" s="410">
        <v>19</v>
      </c>
      <c r="J31" s="406">
        <v>19</v>
      </c>
      <c r="K31" s="27" t="s">
        <v>37</v>
      </c>
      <c r="L31" s="444"/>
      <c r="M31" s="444"/>
      <c r="N31" s="444"/>
      <c r="O31" s="445"/>
      <c r="P31" s="347">
        <f>IF(OR(J31="",G31=Paramétrage!$D$9,G31=Paramétrage!$D$12,G31=Paramétrage!$D$15,G31=Paramétrage!$D$18,G31=Paramétrage!$D$22,G31=Paramétrage!$D$25,AND(G31&lt;&gt;Paramétrage!$D$9,K31="Mut+ext")),0,ROUNDUP(I31/J31,0))</f>
        <v>0</v>
      </c>
      <c r="Q31" s="407">
        <f>IF(OR(G31="",K31="Mut+ext"),0,IF(VLOOKUP(G31,Paramétrage!$D$6:$F$27,3,0)=0,0,IF(J31="","saisir capacité",H31*P31*VLOOKUP(G31,Paramétrage!$D$6:$F$27,2,0))))</f>
        <v>0</v>
      </c>
      <c r="R31" s="414"/>
      <c r="S31" s="409">
        <f t="shared" si="1"/>
        <v>0</v>
      </c>
      <c r="T31" s="23">
        <f>IF(G31="",0,IF(ISERROR(R31+Q31*VLOOKUP(G31,Paramétrage!$D$6:$F$27,3,0))=TRUE,S31,R31+Q31*VLOOKUP(G31,Paramétrage!$D$6:$F$27,3,0)))</f>
        <v>0</v>
      </c>
      <c r="U31" s="385"/>
      <c r="V31" s="410"/>
      <c r="W31" s="410"/>
      <c r="X31" s="410"/>
      <c r="Y31" s="411">
        <f t="shared" si="7"/>
        <v>0</v>
      </c>
      <c r="Z31" s="443"/>
      <c r="AA31" s="444"/>
      <c r="AB31" s="445"/>
      <c r="AC31" s="22">
        <f t="shared" si="3"/>
        <v>20</v>
      </c>
      <c r="AD31" s="415">
        <f t="shared" ref="AD31:AD37" si="9">H31*I31</f>
        <v>380</v>
      </c>
    </row>
    <row r="32" spans="1:30">
      <c r="A32" s="477"/>
      <c r="B32" s="421"/>
      <c r="C32" s="383"/>
      <c r="D32" s="26"/>
      <c r="E32" s="34"/>
      <c r="F32" s="25"/>
      <c r="G32" s="413"/>
      <c r="H32" s="29"/>
      <c r="I32" s="410"/>
      <c r="J32" s="406"/>
      <c r="K32" s="27" t="s">
        <v>37</v>
      </c>
      <c r="L32" s="444"/>
      <c r="M32" s="444"/>
      <c r="N32" s="444"/>
      <c r="O32" s="445"/>
      <c r="P32" s="347">
        <f>IF(OR(J32="",G32=Paramétrage!$D$9,G32=Paramétrage!$D$12,G32=Paramétrage!$D$15,G32=Paramétrage!$D$18,G32=Paramétrage!$D$22,G32=Paramétrage!$D$25,AND(G32&lt;&gt;Paramétrage!$D$9,K32="Mut+ext")),0,ROUNDUP(I32/J32,0))</f>
        <v>0</v>
      </c>
      <c r="Q32" s="407">
        <f>IF(OR(G32="",K32="Mut+ext"),0,IF(VLOOKUP(G32,Paramétrage!$D$6:$F$27,3,0)=0,0,IF(J32="","saisir capacité",H32*P32*VLOOKUP(G32,Paramétrage!$D$6:$F$27,2,0))))</f>
        <v>0</v>
      </c>
      <c r="R32" s="414"/>
      <c r="S32" s="409">
        <f t="shared" si="1"/>
        <v>0</v>
      </c>
      <c r="T32" s="23">
        <f>IF(G32="",0,IF(ISERROR(R32+Q32*VLOOKUP(G32,Paramétrage!$D$6:$F$27,3,0))=TRUE,S32,R32+Q32*VLOOKUP(G32,Paramétrage!$D$6:$F$27,3,0)))</f>
        <v>0</v>
      </c>
      <c r="U32" s="410"/>
      <c r="V32" s="410"/>
      <c r="W32" s="410"/>
      <c r="X32" s="410"/>
      <c r="Y32" s="411">
        <f t="shared" si="7"/>
        <v>0</v>
      </c>
      <c r="Z32" s="443"/>
      <c r="AA32" s="444"/>
      <c r="AB32" s="445"/>
      <c r="AC32" s="22">
        <f t="shared" si="3"/>
        <v>0</v>
      </c>
      <c r="AD32" s="415">
        <f t="shared" si="9"/>
        <v>0</v>
      </c>
    </row>
    <row r="33" spans="1:30">
      <c r="A33" s="477"/>
      <c r="B33" s="421"/>
      <c r="C33" s="383"/>
      <c r="D33" s="24"/>
      <c r="E33" s="34"/>
      <c r="F33" s="25"/>
      <c r="G33" s="413"/>
      <c r="H33" s="29"/>
      <c r="I33" s="410"/>
      <c r="J33" s="406"/>
      <c r="K33" s="27"/>
      <c r="L33" s="444"/>
      <c r="M33" s="444"/>
      <c r="N33" s="444"/>
      <c r="O33" s="445"/>
      <c r="P33" s="347">
        <f>IF(OR(J33="",G33=Paramétrage!$D$9,G33=Paramétrage!$D$12,G33=Paramétrage!$D$15,G33=Paramétrage!$D$18,G33=Paramétrage!$D$22,G33=Paramétrage!$D$25,AND(G33&lt;&gt;Paramétrage!$D$9,K33="Mut+ext")),0,ROUNDUP(I33/J33,0))</f>
        <v>0</v>
      </c>
      <c r="Q33" s="407">
        <f>IF(OR(G33="",K33="Mut+ext"),0,IF(VLOOKUP(G33,Paramétrage!$D$6:$F$27,3,0)=0,0,IF(J33="","saisir capacité",H33*P33*VLOOKUP(G33,Paramétrage!$D$6:$F$27,2,0))))</f>
        <v>0</v>
      </c>
      <c r="R33" s="414"/>
      <c r="S33" s="409">
        <f t="shared" si="1"/>
        <v>0</v>
      </c>
      <c r="T33" s="23">
        <f>IF(G33="",0,IF(ISERROR(R33+Q33*VLOOKUP(G33,Paramétrage!$D$6:$F$27,3,0))=TRUE,S33,R33+Q33*VLOOKUP(G33,Paramétrage!$D$6:$F$27,3,0)))</f>
        <v>0</v>
      </c>
      <c r="U33" s="410"/>
      <c r="V33" s="410"/>
      <c r="W33" s="410"/>
      <c r="X33" s="410"/>
      <c r="Y33" s="411">
        <f t="shared" si="7"/>
        <v>0</v>
      </c>
      <c r="Z33" s="443"/>
      <c r="AA33" s="444"/>
      <c r="AB33" s="445"/>
      <c r="AC33" s="22">
        <f t="shared" si="3"/>
        <v>0</v>
      </c>
      <c r="AD33" s="415">
        <f t="shared" ref="AD33:AD34" si="10">H33*I33</f>
        <v>0</v>
      </c>
    </row>
    <row r="34" spans="1:30">
      <c r="A34" s="477"/>
      <c r="B34" s="421"/>
      <c r="C34" s="383"/>
      <c r="D34" s="34"/>
      <c r="E34" s="26"/>
      <c r="F34" s="25"/>
      <c r="G34" s="413"/>
      <c r="H34" s="29"/>
      <c r="I34" s="410"/>
      <c r="J34" s="406"/>
      <c r="K34" s="27"/>
      <c r="L34" s="444"/>
      <c r="M34" s="444"/>
      <c r="N34" s="444"/>
      <c r="O34" s="445"/>
      <c r="P34" s="347">
        <f>IF(OR(J34="",G34=Paramétrage!$D$9,G34=Paramétrage!$D$12,G34=Paramétrage!$D$15,G34=Paramétrage!$D$18,G34=Paramétrage!$D$22,G34=Paramétrage!$D$25,AND(G34&lt;&gt;Paramétrage!$D$9,K34="Mut+ext")),0,ROUNDUP(I34/J34,0))</f>
        <v>0</v>
      </c>
      <c r="Q34" s="407">
        <f>IF(OR(G34="",K34="Mut+ext"),0,IF(VLOOKUP(G34,Paramétrage!$D$6:$F$27,3,0)=0,0,IF(J34="","saisir capacité",H34*P34*VLOOKUP(G34,Paramétrage!$D$6:$F$27,2,0))))</f>
        <v>0</v>
      </c>
      <c r="R34" s="414"/>
      <c r="S34" s="409">
        <f t="shared" si="1"/>
        <v>0</v>
      </c>
      <c r="T34" s="23">
        <f>IF(G34="",0,IF(ISERROR(R34+Q34*VLOOKUP(G34,Paramétrage!$D$6:$F$27,3,0))=TRUE,S34,R34+Q34*VLOOKUP(G34,Paramétrage!$D$6:$F$27,3,0)))</f>
        <v>0</v>
      </c>
      <c r="U34" s="410"/>
      <c r="V34" s="410"/>
      <c r="W34" s="410"/>
      <c r="X34" s="410"/>
      <c r="Y34" s="411">
        <f t="shared" si="7"/>
        <v>0</v>
      </c>
      <c r="Z34" s="443"/>
      <c r="AA34" s="444"/>
      <c r="AB34" s="445"/>
      <c r="AC34" s="22">
        <f t="shared" si="3"/>
        <v>0</v>
      </c>
      <c r="AD34" s="415">
        <f t="shared" si="10"/>
        <v>0</v>
      </c>
    </row>
    <row r="35" spans="1:30">
      <c r="A35" s="477"/>
      <c r="B35" s="421"/>
      <c r="C35" s="383"/>
      <c r="D35" s="34"/>
      <c r="E35" s="26"/>
      <c r="F35" s="25"/>
      <c r="G35" s="413"/>
      <c r="H35" s="29"/>
      <c r="I35" s="410"/>
      <c r="J35" s="406"/>
      <c r="K35" s="27"/>
      <c r="L35" s="444"/>
      <c r="M35" s="444"/>
      <c r="N35" s="444"/>
      <c r="O35" s="445"/>
      <c r="P35" s="347">
        <f>IF(OR(J35="",G35=Paramétrage!$D$9,G35=Paramétrage!$D$12,G35=Paramétrage!$D$15,G35=Paramétrage!$D$18,G35=Paramétrage!$D$22,G35=Paramétrage!$D$25,AND(G35&lt;&gt;Paramétrage!$D$9,K35="Mut+ext")),0,ROUNDUP(I35/J35,0))</f>
        <v>0</v>
      </c>
      <c r="Q35" s="407">
        <f>IF(OR(G35="",K35="Mut+ext"),0,IF(VLOOKUP(G35,Paramétrage!$D$6:$F$27,3,0)=0,0,IF(J35="","saisir capacité",H35*P35*VLOOKUP(G35,Paramétrage!$D$6:$F$27,2,0))))</f>
        <v>0</v>
      </c>
      <c r="R35" s="414"/>
      <c r="S35" s="409">
        <f t="shared" si="1"/>
        <v>0</v>
      </c>
      <c r="T35" s="23">
        <f>IF(G35="",0,IF(ISERROR(R35+Q35*VLOOKUP(G35,Paramétrage!$D$6:$F$27,3,0))=TRUE,S35,R35+Q35*VLOOKUP(G35,Paramétrage!$D$6:$F$27,3,0)))</f>
        <v>0</v>
      </c>
      <c r="U35" s="410"/>
      <c r="V35" s="410"/>
      <c r="W35" s="410"/>
      <c r="X35" s="410"/>
      <c r="Y35" s="411">
        <f t="shared" si="7"/>
        <v>0</v>
      </c>
      <c r="Z35" s="443"/>
      <c r="AA35" s="444"/>
      <c r="AB35" s="445"/>
      <c r="AC35" s="22">
        <f t="shared" si="3"/>
        <v>0</v>
      </c>
      <c r="AD35" s="415">
        <f t="shared" si="9"/>
        <v>0</v>
      </c>
    </row>
    <row r="36" spans="1:30">
      <c r="A36" s="477"/>
      <c r="B36" s="421"/>
      <c r="C36" s="383"/>
      <c r="D36" s="34"/>
      <c r="E36" s="26"/>
      <c r="F36" s="25"/>
      <c r="G36" s="413"/>
      <c r="H36" s="29"/>
      <c r="I36" s="410"/>
      <c r="J36" s="406"/>
      <c r="K36" s="27"/>
      <c r="L36" s="444"/>
      <c r="M36" s="444"/>
      <c r="N36" s="444"/>
      <c r="O36" s="445"/>
      <c r="P36" s="347">
        <f>IF(OR(J36="",G36=Paramétrage!$D$9,G36=Paramétrage!$D$12,G36=Paramétrage!$D$15,G36=Paramétrage!$D$18,G36=Paramétrage!$D$22,G36=Paramétrage!$D$25,AND(G36&lt;&gt;Paramétrage!$D$9,K36="Mut+ext")),0,ROUNDUP(I36/J36,0))</f>
        <v>0</v>
      </c>
      <c r="Q36" s="407">
        <f>IF(OR(G36="",K36="Mut+ext"),0,IF(VLOOKUP(G36,Paramétrage!$D$6:$F$27,3,0)=0,0,IF(J36="","saisir capacité",H36*P36*VLOOKUP(G36,Paramétrage!$D$6:$F$27,2,0))))</f>
        <v>0</v>
      </c>
      <c r="R36" s="414"/>
      <c r="S36" s="409">
        <f t="shared" si="1"/>
        <v>0</v>
      </c>
      <c r="T36" s="23">
        <f>IF(G36="",0,IF(ISERROR(R36+Q36*VLOOKUP(G36,Paramétrage!$D$6:$F$27,3,0))=TRUE,S36,R36+Q36*VLOOKUP(G36,Paramétrage!$D$6:$F$27,3,0)))</f>
        <v>0</v>
      </c>
      <c r="U36" s="410"/>
      <c r="V36" s="410"/>
      <c r="W36" s="410"/>
      <c r="X36" s="410"/>
      <c r="Y36" s="411">
        <f t="shared" si="7"/>
        <v>0</v>
      </c>
      <c r="Z36" s="443"/>
      <c r="AA36" s="444"/>
      <c r="AB36" s="445"/>
      <c r="AC36" s="22">
        <f t="shared" si="3"/>
        <v>0</v>
      </c>
      <c r="AD36" s="415">
        <f t="shared" si="9"/>
        <v>0</v>
      </c>
    </row>
    <row r="37" spans="1:30">
      <c r="A37" s="477"/>
      <c r="B37" s="421"/>
      <c r="C37" s="24"/>
      <c r="D37" s="34"/>
      <c r="E37" s="26"/>
      <c r="F37" s="25"/>
      <c r="G37" s="413"/>
      <c r="H37" s="29"/>
      <c r="I37" s="410"/>
      <c r="J37" s="406"/>
      <c r="K37" s="27"/>
      <c r="L37" s="444"/>
      <c r="M37" s="444"/>
      <c r="N37" s="444"/>
      <c r="O37" s="445"/>
      <c r="P37" s="347">
        <f>IF(OR(J37="",G37=Paramétrage!$D$9,G37=Paramétrage!$D$12,G37=Paramétrage!$D$15,G37=Paramétrage!$D$18,G37=Paramétrage!$D$22,G37=Paramétrage!$D$25,AND(G37&lt;&gt;Paramétrage!$D$9,K37="Mut+ext")),0,ROUNDUP(I37/J37,0))</f>
        <v>0</v>
      </c>
      <c r="Q37" s="407">
        <f>IF(OR(G37="",K37="Mut+ext"),0,IF(VLOOKUP(G37,Paramétrage!$D$6:$F$27,3,0)=0,0,IF(J37="","saisir capacité",H37*P37*VLOOKUP(G37,Paramétrage!$D$6:$F$27,2,0))))</f>
        <v>0</v>
      </c>
      <c r="R37" s="414"/>
      <c r="S37" s="409">
        <f t="shared" si="1"/>
        <v>0</v>
      </c>
      <c r="T37" s="23">
        <f>IF(G37="",0,IF(ISERROR(R37+Q37*VLOOKUP(G37,Paramétrage!$D$6:$F$27,3,0))=TRUE,S37,R37+Q37*VLOOKUP(G37,Paramétrage!$D$6:$F$27,3,0)))</f>
        <v>0</v>
      </c>
      <c r="U37" s="410"/>
      <c r="V37" s="410"/>
      <c r="W37" s="410"/>
      <c r="X37" s="410"/>
      <c r="Y37" s="411">
        <f t="shared" si="7"/>
        <v>0</v>
      </c>
      <c r="Z37" s="443"/>
      <c r="AA37" s="444"/>
      <c r="AB37" s="445"/>
      <c r="AC37" s="22">
        <f t="shared" si="3"/>
        <v>0</v>
      </c>
      <c r="AD37" s="415">
        <f t="shared" si="9"/>
        <v>0</v>
      </c>
    </row>
    <row r="38" spans="1:30">
      <c r="A38" s="477"/>
      <c r="B38" s="421"/>
      <c r="C38" s="24"/>
      <c r="D38" s="34"/>
      <c r="E38" s="26"/>
      <c r="F38" s="25"/>
      <c r="G38" s="413"/>
      <c r="H38" s="29"/>
      <c r="I38" s="410"/>
      <c r="J38" s="406"/>
      <c r="K38" s="442"/>
      <c r="L38" s="444"/>
      <c r="M38" s="444"/>
      <c r="N38" s="444"/>
      <c r="O38" s="445"/>
      <c r="P38" s="347">
        <f>IF(OR(J38="",G38=Paramétrage!$D$9,G38=Paramétrage!$D$12,G38=Paramétrage!$D$15,G38=Paramétrage!$D$18,G38=Paramétrage!$D$22,G38=Paramétrage!$D$25,AND(G38&lt;&gt;Paramétrage!$D$9,K38="Mut+ext")),0,ROUNDUP(I38/J38,0))</f>
        <v>0</v>
      </c>
      <c r="Q38" s="407">
        <f>IF(OR(G38="",K38="Mut+ext"),0,IF(VLOOKUP(G38,Paramétrage!$D$6:$F$27,3,0)=0,0,IF(J38="","saisir capacité",H38*P38*VLOOKUP(G38,Paramétrage!$D$6:$F$27,2,0))))</f>
        <v>0</v>
      </c>
      <c r="R38" s="414"/>
      <c r="S38" s="409">
        <f t="shared" si="1"/>
        <v>0</v>
      </c>
      <c r="T38" s="23">
        <f>IF(G38="",0,IF(ISERROR(R38+Q38*VLOOKUP(G38,Paramétrage!$D$6:$F$27,3,0))=TRUE,S38,R38+Q38*VLOOKUP(G38,Paramétrage!$D$6:$F$27,3,0)))</f>
        <v>0</v>
      </c>
      <c r="U38" s="410"/>
      <c r="V38" s="410"/>
      <c r="W38" s="410"/>
      <c r="X38" s="410"/>
      <c r="Y38" s="411">
        <f t="shared" si="7"/>
        <v>0</v>
      </c>
      <c r="Z38" s="443"/>
      <c r="AA38" s="444"/>
      <c r="AB38" s="445"/>
      <c r="AC38" s="22">
        <f t="shared" si="3"/>
        <v>0</v>
      </c>
      <c r="AD38" s="415">
        <f t="shared" si="8"/>
        <v>0</v>
      </c>
    </row>
    <row r="39" spans="1:30">
      <c r="A39" s="477"/>
      <c r="B39" s="421"/>
      <c r="C39" s="24"/>
      <c r="D39" s="34"/>
      <c r="E39" s="26"/>
      <c r="F39" s="25"/>
      <c r="G39" s="413"/>
      <c r="H39" s="29"/>
      <c r="I39" s="410"/>
      <c r="J39" s="406"/>
      <c r="K39" s="27"/>
      <c r="L39" s="444"/>
      <c r="M39" s="444"/>
      <c r="N39" s="444"/>
      <c r="O39" s="445"/>
      <c r="P39" s="347">
        <f>IF(OR(J39="",G39=Paramétrage!$D$9,G39=Paramétrage!$D$12,G39=Paramétrage!$D$15,G39=Paramétrage!$D$18,G39=Paramétrage!$D$22,G39=Paramétrage!$D$25,AND(G39&lt;&gt;Paramétrage!$D$9,K39="Mut+ext")),0,ROUNDUP(I39/J39,0))</f>
        <v>0</v>
      </c>
      <c r="Q39" s="407">
        <f>IF(OR(G39="",K39="Mut+ext"),0,IF(VLOOKUP(G39,Paramétrage!$D$6:$F$27,3,0)=0,0,IF(J39="","saisir capacité",H39*P39*VLOOKUP(G39,Paramétrage!$D$6:$F$27,2,0))))</f>
        <v>0</v>
      </c>
      <c r="R39" s="414"/>
      <c r="S39" s="409">
        <f t="shared" si="1"/>
        <v>0</v>
      </c>
      <c r="T39" s="23">
        <f>IF(G39="",0,IF(ISERROR(R39+Q39*VLOOKUP(G39,Paramétrage!$D$6:$F$27,3,0))=TRUE,S39,R39+Q39*VLOOKUP(G39,Paramétrage!$D$6:$F$27,3,0)))</f>
        <v>0</v>
      </c>
      <c r="U39" s="410"/>
      <c r="V39" s="410"/>
      <c r="W39" s="410"/>
      <c r="X39" s="410"/>
      <c r="Y39" s="411">
        <f t="shared" si="7"/>
        <v>0</v>
      </c>
      <c r="Z39" s="443"/>
      <c r="AA39" s="444"/>
      <c r="AB39" s="445"/>
      <c r="AC39" s="22">
        <f t="shared" si="3"/>
        <v>0</v>
      </c>
      <c r="AD39" s="415">
        <f t="shared" si="8"/>
        <v>0</v>
      </c>
    </row>
    <row r="40" spans="1:30">
      <c r="A40" s="477"/>
      <c r="B40" s="421"/>
      <c r="C40" s="24"/>
      <c r="D40" s="34"/>
      <c r="E40" s="26"/>
      <c r="F40" s="25"/>
      <c r="G40" s="413"/>
      <c r="H40" s="29"/>
      <c r="I40" s="410"/>
      <c r="J40" s="406"/>
      <c r="K40" s="27"/>
      <c r="L40" s="444"/>
      <c r="M40" s="444"/>
      <c r="N40" s="444"/>
      <c r="O40" s="445"/>
      <c r="P40" s="347">
        <f>IF(OR(J40="",G40=Paramétrage!$D$9,G40=Paramétrage!$D$12,G40=Paramétrage!$D$15,G40=Paramétrage!$D$18,G40=Paramétrage!$D$22,G40=Paramétrage!$D$25,AND(G40&lt;&gt;Paramétrage!$D$9,K40="Mut+ext")),0,ROUNDUP(I40/J40,0))</f>
        <v>0</v>
      </c>
      <c r="Q40" s="407">
        <f>IF(OR(G40="",K40="Mut+ext"),0,IF(VLOOKUP(G40,Paramétrage!$D$6:$F$27,3,0)=0,0,IF(J40="","saisir capacité",H40*P40*VLOOKUP(G40,Paramétrage!$D$6:$F$27,2,0))))</f>
        <v>0</v>
      </c>
      <c r="R40" s="414"/>
      <c r="S40" s="409">
        <f t="shared" si="1"/>
        <v>0</v>
      </c>
      <c r="T40" s="23">
        <f>IF(G40="",0,IF(ISERROR(R40+Q40*VLOOKUP(G40,Paramétrage!$D$6:$F$27,3,0))=TRUE,S40,R40+Q40*VLOOKUP(G40,Paramétrage!$D$6:$F$27,3,0)))</f>
        <v>0</v>
      </c>
      <c r="U40" s="410"/>
      <c r="V40" s="410"/>
      <c r="W40" s="410"/>
      <c r="X40" s="410"/>
      <c r="Y40" s="411">
        <f t="shared" si="7"/>
        <v>0</v>
      </c>
      <c r="Z40" s="443"/>
      <c r="AA40" s="444"/>
      <c r="AB40" s="445"/>
      <c r="AC40" s="22">
        <f t="shared" si="3"/>
        <v>0</v>
      </c>
      <c r="AD40" s="415">
        <f t="shared" si="8"/>
        <v>0</v>
      </c>
    </row>
    <row r="41" spans="1:30">
      <c r="A41" s="477"/>
      <c r="B41" s="421"/>
      <c r="C41" s="24"/>
      <c r="D41" s="34"/>
      <c r="E41" s="26"/>
      <c r="F41" s="25"/>
      <c r="G41" s="413"/>
      <c r="H41" s="29"/>
      <c r="I41" s="410"/>
      <c r="J41" s="406"/>
      <c r="K41" s="27"/>
      <c r="L41" s="444"/>
      <c r="M41" s="444"/>
      <c r="N41" s="444"/>
      <c r="O41" s="445"/>
      <c r="P41" s="347">
        <f>IF(OR(J41="",G41=Paramétrage!$D$9,G41=Paramétrage!$D$12,G41=Paramétrage!$D$15,G41=Paramétrage!$D$18,G41=Paramétrage!$D$22,G41=Paramétrage!$D$25,AND(G41&lt;&gt;Paramétrage!$D$9,K41="Mut+ext")),0,ROUNDUP(I41/J41,0))</f>
        <v>0</v>
      </c>
      <c r="Q41" s="407">
        <f>IF(OR(G41="",K41="Mut+ext"),0,IF(VLOOKUP(G41,Paramétrage!$D$6:$F$27,3,0)=0,0,IF(J41="","saisir capacité",H41*P41*VLOOKUP(G41,Paramétrage!$D$6:$F$27,2,0))))</f>
        <v>0</v>
      </c>
      <c r="R41" s="414"/>
      <c r="S41" s="409">
        <f t="shared" si="1"/>
        <v>0</v>
      </c>
      <c r="T41" s="23">
        <f>IF(G41="",0,IF(ISERROR(R41+Q41*VLOOKUP(G41,Paramétrage!$D$6:$F$27,3,0))=TRUE,S41,R41+Q41*VLOOKUP(G41,Paramétrage!$D$6:$F$27,3,0)))</f>
        <v>0</v>
      </c>
      <c r="U41" s="410"/>
      <c r="V41" s="410"/>
      <c r="W41" s="410"/>
      <c r="X41" s="410"/>
      <c r="Y41" s="411">
        <f t="shared" si="7"/>
        <v>0</v>
      </c>
      <c r="Z41" s="443"/>
      <c r="AA41" s="444"/>
      <c r="AB41" s="445"/>
      <c r="AC41" s="22">
        <f t="shared" si="3"/>
        <v>0</v>
      </c>
      <c r="AD41" s="415">
        <f t="shared" si="8"/>
        <v>0</v>
      </c>
    </row>
    <row r="42" spans="1:30">
      <c r="A42" s="477"/>
      <c r="B42" s="421"/>
      <c r="C42" s="24"/>
      <c r="D42" s="34"/>
      <c r="E42" s="26"/>
      <c r="F42" s="25"/>
      <c r="G42" s="413"/>
      <c r="H42" s="29"/>
      <c r="I42" s="410"/>
      <c r="J42" s="406"/>
      <c r="K42" s="27"/>
      <c r="L42" s="444"/>
      <c r="M42" s="444"/>
      <c r="N42" s="444"/>
      <c r="O42" s="445"/>
      <c r="P42" s="347">
        <f>IF(OR(J42="",G42=Paramétrage!$D$9,G42=Paramétrage!$D$12,G42=Paramétrage!$D$15,G42=Paramétrage!$D$18,G42=Paramétrage!$D$22,G42=Paramétrage!$D$25,AND(G42&lt;&gt;Paramétrage!$D$9,K42="Mut+ext")),0,ROUNDUP(I42/J42,0))</f>
        <v>0</v>
      </c>
      <c r="Q42" s="407">
        <f>IF(OR(G42="",K42="Mut+ext"),0,IF(VLOOKUP(G42,Paramétrage!$D$6:$F$27,3,0)=0,0,IF(J42="","saisir capacité",H42*P42*VLOOKUP(G42,Paramétrage!$D$6:$F$27,2,0))))</f>
        <v>0</v>
      </c>
      <c r="R42" s="414"/>
      <c r="S42" s="409">
        <f t="shared" si="1"/>
        <v>0</v>
      </c>
      <c r="T42" s="23">
        <f>IF(G42="",0,IF(ISERROR(R42+Q42*VLOOKUP(G42,Paramétrage!$D$6:$F$27,3,0))=TRUE,S42,R42+Q42*VLOOKUP(G42,Paramétrage!$D$6:$F$27,3,0)))</f>
        <v>0</v>
      </c>
      <c r="U42" s="410"/>
      <c r="V42" s="410"/>
      <c r="W42" s="410"/>
      <c r="X42" s="410"/>
      <c r="Y42" s="411">
        <f t="shared" si="7"/>
        <v>0</v>
      </c>
      <c r="Z42" s="443"/>
      <c r="AA42" s="444"/>
      <c r="AB42" s="445"/>
      <c r="AC42" s="22">
        <f t="shared" si="3"/>
        <v>0</v>
      </c>
      <c r="AD42" s="415">
        <f t="shared" ref="AD42:AD47" si="11">H42*I42</f>
        <v>0</v>
      </c>
    </row>
    <row r="43" spans="1:30">
      <c r="A43" s="477"/>
      <c r="B43" s="422"/>
      <c r="C43" s="24"/>
      <c r="D43" s="34"/>
      <c r="E43" s="26"/>
      <c r="F43" s="25"/>
      <c r="G43" s="413"/>
      <c r="H43" s="29"/>
      <c r="I43" s="410"/>
      <c r="J43" s="406"/>
      <c r="K43" s="27"/>
      <c r="L43" s="444"/>
      <c r="M43" s="444"/>
      <c r="N43" s="444"/>
      <c r="O43" s="445"/>
      <c r="P43" s="347">
        <f>IF(OR(J43="",G43=Paramétrage!$D$9,G43=Paramétrage!$D$12,G43=Paramétrage!$D$15,G43=Paramétrage!$D$18,G43=Paramétrage!$D$22,G43=Paramétrage!$D$25,AND(G43&lt;&gt;Paramétrage!$D$9,K43="Mut+ext")),0,ROUNDUP(I43/J43,0))</f>
        <v>0</v>
      </c>
      <c r="Q43" s="407">
        <f>IF(OR(G43="",K43="Mut+ext"),0,IF(VLOOKUP(G43,Paramétrage!$D$6:$F$27,3,0)=0,0,IF(J43="","saisir capacité",H43*P43*VLOOKUP(G43,Paramétrage!$D$6:$F$27,2,0))))</f>
        <v>0</v>
      </c>
      <c r="R43" s="414"/>
      <c r="S43" s="409">
        <f t="shared" si="1"/>
        <v>0</v>
      </c>
      <c r="T43" s="23">
        <f>IF(G43="",0,IF(ISERROR(R43+Q43*VLOOKUP(G43,Paramétrage!$D$6:$F$27,3,0))=TRUE,S43,R43+Q43*VLOOKUP(G43,Paramétrage!$D$6:$F$27,3,0)))</f>
        <v>0</v>
      </c>
      <c r="U43" s="410"/>
      <c r="V43" s="410"/>
      <c r="W43" s="410"/>
      <c r="X43" s="410"/>
      <c r="Y43" s="411">
        <f t="shared" si="7"/>
        <v>0</v>
      </c>
      <c r="Z43" s="443"/>
      <c r="AA43" s="444"/>
      <c r="AB43" s="445"/>
      <c r="AC43" s="22">
        <f t="shared" si="3"/>
        <v>0</v>
      </c>
      <c r="AD43" s="415">
        <f t="shared" si="11"/>
        <v>0</v>
      </c>
    </row>
    <row r="44" spans="1:30">
      <c r="A44" s="477"/>
      <c r="B44" s="421"/>
      <c r="C44" s="24"/>
      <c r="D44" s="34"/>
      <c r="E44" s="26"/>
      <c r="F44" s="25"/>
      <c r="G44" s="413"/>
      <c r="H44" s="29"/>
      <c r="I44" s="410"/>
      <c r="J44" s="406"/>
      <c r="K44" s="27"/>
      <c r="L44" s="444"/>
      <c r="M44" s="444"/>
      <c r="N44" s="444"/>
      <c r="O44" s="445"/>
      <c r="P44" s="347">
        <f>IF(OR(J44="",G44=Paramétrage!$D$9,G44=Paramétrage!$D$12,G44=Paramétrage!$D$15,G44=Paramétrage!$D$18,G44=Paramétrage!$D$22,G44=Paramétrage!$D$25,AND(G44&lt;&gt;Paramétrage!$D$9,K44="Mut+ext")),0,ROUNDUP(I44/J44,0))</f>
        <v>0</v>
      </c>
      <c r="Q44" s="407">
        <f>IF(OR(G44="",K44="Mut+ext"),0,IF(VLOOKUP(G44,Paramétrage!$D$6:$F$27,3,0)=0,0,IF(J44="","saisir capacité",H44*P44*VLOOKUP(G44,Paramétrage!$D$6:$F$27,2,0))))</f>
        <v>0</v>
      </c>
      <c r="R44" s="414"/>
      <c r="S44" s="409">
        <f t="shared" si="1"/>
        <v>0</v>
      </c>
      <c r="T44" s="23">
        <f>IF(G44="",0,IF(ISERROR(R44+Q44*VLOOKUP(G44,Paramétrage!$D$6:$F$27,3,0))=TRUE,S44,R44+Q44*VLOOKUP(G44,Paramétrage!$D$6:$F$27,3,0)))</f>
        <v>0</v>
      </c>
      <c r="U44" s="410"/>
      <c r="V44" s="410"/>
      <c r="W44" s="410"/>
      <c r="X44" s="410"/>
      <c r="Y44" s="411">
        <f t="shared" si="7"/>
        <v>0</v>
      </c>
      <c r="Z44" s="443"/>
      <c r="AA44" s="444"/>
      <c r="AB44" s="445"/>
      <c r="AC44" s="22">
        <f t="shared" si="3"/>
        <v>0</v>
      </c>
      <c r="AD44" s="415">
        <f t="shared" si="11"/>
        <v>0</v>
      </c>
    </row>
    <row r="45" spans="1:30">
      <c r="A45" s="477"/>
      <c r="B45" s="421"/>
      <c r="C45" s="24"/>
      <c r="D45" s="34"/>
      <c r="E45" s="26"/>
      <c r="F45" s="25"/>
      <c r="G45" s="413"/>
      <c r="H45" s="29"/>
      <c r="I45" s="410"/>
      <c r="J45" s="406"/>
      <c r="K45" s="27"/>
      <c r="L45" s="444"/>
      <c r="M45" s="444"/>
      <c r="N45" s="444"/>
      <c r="O45" s="445"/>
      <c r="P45" s="347">
        <f>IF(OR(J45="",G45=Paramétrage!$D$9,G45=Paramétrage!$D$12,G45=Paramétrage!$D$15,G45=Paramétrage!$D$18,G45=Paramétrage!$D$22,G45=Paramétrage!$D$25,AND(G45&lt;&gt;Paramétrage!$D$9,K45="Mut+ext")),0,ROUNDUP(I45/J45,0))</f>
        <v>0</v>
      </c>
      <c r="Q45" s="407">
        <f>IF(OR(G45="",K45="Mut+ext"),0,IF(VLOOKUP(G45,Paramétrage!$D$6:$F$27,3,0)=0,0,IF(J45="","saisir capacité",H45*P45*VLOOKUP(G45,Paramétrage!$D$6:$F$27,2,0))))</f>
        <v>0</v>
      </c>
      <c r="R45" s="414"/>
      <c r="S45" s="409">
        <f t="shared" si="1"/>
        <v>0</v>
      </c>
      <c r="T45" s="23">
        <f>IF(G45="",0,IF(ISERROR(R45+Q45*VLOOKUP(G45,Paramétrage!$D$6:$F$27,3,0))=TRUE,S45,R45+Q45*VLOOKUP(G45,Paramétrage!$D$6:$F$27,3,0)))</f>
        <v>0</v>
      </c>
      <c r="U45" s="416"/>
      <c r="V45" s="416"/>
      <c r="W45" s="416"/>
      <c r="X45" s="416"/>
      <c r="Y45" s="411">
        <f t="shared" si="7"/>
        <v>0</v>
      </c>
      <c r="Z45" s="443"/>
      <c r="AA45" s="444"/>
      <c r="AB45" s="445"/>
      <c r="AC45" s="22">
        <f t="shared" si="3"/>
        <v>0</v>
      </c>
      <c r="AD45" s="415">
        <f t="shared" si="11"/>
        <v>0</v>
      </c>
    </row>
    <row r="46" spans="1:30">
      <c r="A46" s="477"/>
      <c r="B46" s="421"/>
      <c r="C46" s="24"/>
      <c r="D46" s="34"/>
      <c r="E46" s="26"/>
      <c r="F46" s="25"/>
      <c r="G46" s="413"/>
      <c r="H46" s="29"/>
      <c r="I46" s="410"/>
      <c r="J46" s="406"/>
      <c r="K46" s="27"/>
      <c r="L46" s="444"/>
      <c r="M46" s="444"/>
      <c r="N46" s="444"/>
      <c r="O46" s="445"/>
      <c r="P46" s="347">
        <f>IF(OR(J46="",G46=Paramétrage!$D$9,G46=Paramétrage!$D$12,G46=Paramétrage!$D$15,G46=Paramétrage!$D$18,G46=Paramétrage!$D$22,G46=Paramétrage!$D$25,AND(G46&lt;&gt;Paramétrage!$D$9,K46="Mut+ext")),0,ROUNDUP(I46/J46,0))</f>
        <v>0</v>
      </c>
      <c r="Q46" s="407">
        <f>IF(OR(G46="",K46="Mut+ext"),0,IF(VLOOKUP(G46,Paramétrage!$D$6:$F$27,3,0)=0,0,IF(J46="","saisir capacité",H46*P46*VLOOKUP(G46,Paramétrage!$D$6:$F$27,2,0))))</f>
        <v>0</v>
      </c>
      <c r="R46" s="414"/>
      <c r="S46" s="409">
        <f t="shared" si="1"/>
        <v>0</v>
      </c>
      <c r="T46" s="23">
        <f>IF(G46="",0,IF(ISERROR(R46+Q46*VLOOKUP(G46,Paramétrage!$D$6:$F$27,3,0))=TRUE,S46,R46+Q46*VLOOKUP(G46,Paramétrage!$D$6:$F$27,3,0)))</f>
        <v>0</v>
      </c>
      <c r="U46" s="417"/>
      <c r="V46" s="417"/>
      <c r="W46" s="417"/>
      <c r="X46" s="417"/>
      <c r="Y46" s="411">
        <f t="shared" si="7"/>
        <v>0</v>
      </c>
      <c r="Z46" s="443"/>
      <c r="AA46" s="444"/>
      <c r="AB46" s="445"/>
      <c r="AC46" s="22">
        <f t="shared" si="3"/>
        <v>0</v>
      </c>
      <c r="AD46" s="415">
        <f t="shared" si="11"/>
        <v>0</v>
      </c>
    </row>
    <row r="47" spans="1:30">
      <c r="A47" s="477"/>
      <c r="B47" s="421"/>
      <c r="C47" s="24"/>
      <c r="D47" s="34"/>
      <c r="E47" s="26"/>
      <c r="F47" s="25"/>
      <c r="G47" s="413"/>
      <c r="H47" s="29"/>
      <c r="I47" s="410"/>
      <c r="J47" s="406"/>
      <c r="K47" s="27"/>
      <c r="L47" s="444"/>
      <c r="M47" s="444"/>
      <c r="N47" s="444"/>
      <c r="O47" s="445"/>
      <c r="P47" s="347">
        <f>IF(OR(J47="",G47=Paramétrage!$D$9,G47=Paramétrage!$D$12,G47=Paramétrage!$D$15,G47=Paramétrage!$D$18,G47=Paramétrage!$D$22,G47=Paramétrage!$D$25,AND(G47&lt;&gt;Paramétrage!$D$9,K47="Mut+ext")),0,ROUNDUP(I47/J47,0))</f>
        <v>0</v>
      </c>
      <c r="Q47" s="407">
        <f>IF(OR(G47="",K47="Mut+ext"),0,IF(VLOOKUP(G47,Paramétrage!$D$6:$F$27,3,0)=0,0,IF(J47="","saisir capacité",H47*P47*VLOOKUP(G47,Paramétrage!$D$6:$F$27,2,0))))</f>
        <v>0</v>
      </c>
      <c r="R47" s="414"/>
      <c r="S47" s="409">
        <f t="shared" si="1"/>
        <v>0</v>
      </c>
      <c r="T47" s="23">
        <f>IF(G47="",0,IF(ISERROR(R47+Q47*VLOOKUP(G47,Paramétrage!$D$6:$F$27,3,0))=TRUE,S47,R47+Q47*VLOOKUP(G47,Paramétrage!$D$6:$F$27,3,0)))</f>
        <v>0</v>
      </c>
      <c r="U47" s="410"/>
      <c r="V47" s="410"/>
      <c r="W47" s="410"/>
      <c r="X47" s="410"/>
      <c r="Y47" s="411">
        <f t="shared" si="7"/>
        <v>0</v>
      </c>
      <c r="Z47" s="443"/>
      <c r="AA47" s="444"/>
      <c r="AB47" s="445"/>
      <c r="AC47" s="22">
        <f t="shared" si="3"/>
        <v>0</v>
      </c>
      <c r="AD47" s="415">
        <f t="shared" si="11"/>
        <v>0</v>
      </c>
    </row>
    <row r="48" spans="1:30" ht="16.5" thickBot="1">
      <c r="A48" s="478"/>
      <c r="B48" s="423"/>
      <c r="C48" s="44"/>
      <c r="D48" s="14"/>
      <c r="E48" s="373"/>
      <c r="F48" s="15"/>
      <c r="G48" s="424"/>
      <c r="H48" s="32">
        <f>AC48</f>
        <v>313</v>
      </c>
      <c r="I48" s="425"/>
      <c r="J48" s="426"/>
      <c r="K48" s="36"/>
      <c r="L48" s="41"/>
      <c r="M48" s="41"/>
      <c r="N48" s="41"/>
      <c r="O48" s="42"/>
      <c r="P48" s="360"/>
      <c r="Q48" s="361">
        <f>SUM(Q8:Q47)</f>
        <v>292</v>
      </c>
      <c r="R48" s="342">
        <f>SUM(R8:R47)</f>
        <v>10</v>
      </c>
      <c r="S48" s="362">
        <f>SUM(S8:S47)</f>
        <v>302</v>
      </c>
      <c r="T48" s="45">
        <f>SUM(T8:T47)</f>
        <v>374</v>
      </c>
      <c r="U48" s="362">
        <f t="shared" ref="U48:Y48" si="12">SUM(U8:U47)</f>
        <v>138</v>
      </c>
      <c r="V48" s="362">
        <f t="shared" si="12"/>
        <v>0</v>
      </c>
      <c r="W48" s="362">
        <f t="shared" si="12"/>
        <v>164</v>
      </c>
      <c r="X48" s="362">
        <f t="shared" si="12"/>
        <v>0</v>
      </c>
      <c r="Y48" s="362">
        <f t="shared" si="12"/>
        <v>302</v>
      </c>
      <c r="Z48" s="427"/>
      <c r="AA48" s="428"/>
      <c r="AB48" s="429"/>
      <c r="AC48" s="43">
        <f>SUM(AC8:AC47)</f>
        <v>313</v>
      </c>
      <c r="AD48" s="21">
        <f>SUM(AD8:AD47)</f>
        <v>5947</v>
      </c>
    </row>
    <row r="49" spans="1:30" ht="14.45" customHeight="1">
      <c r="A49" s="476" t="s">
        <v>84</v>
      </c>
      <c r="B49" s="430" t="s">
        <v>85</v>
      </c>
      <c r="C49" s="399" t="s">
        <v>86</v>
      </c>
      <c r="D49" s="34" t="s">
        <v>34</v>
      </c>
      <c r="E49" s="26" t="s">
        <v>35</v>
      </c>
      <c r="F49" s="25"/>
      <c r="G49" s="405" t="s">
        <v>48</v>
      </c>
      <c r="H49" s="439">
        <v>18</v>
      </c>
      <c r="I49" s="405">
        <v>19</v>
      </c>
      <c r="J49" s="406">
        <v>19</v>
      </c>
      <c r="K49" s="27" t="s">
        <v>37</v>
      </c>
      <c r="L49" s="447"/>
      <c r="M49" s="447"/>
      <c r="N49" s="447"/>
      <c r="O49" s="448"/>
      <c r="P49" s="347">
        <f>IF(OR(J49="",G49=Paramétrage!$D$9,G49=Paramétrage!$D$12,G49=Paramétrage!$D$15,G49=Paramétrage!$D$18,G49=Paramétrage!$D$22,G49=Paramétrage!$D$25,AND(G49&lt;&gt;Paramétrage!$D$9,K49="Mut+ext")),0,ROUNDUP(I49/J49,0))</f>
        <v>1</v>
      </c>
      <c r="Q49" s="407">
        <f>IF(OR(G49="",K49="Mut+ext"),0,IF(VLOOKUP(G49,Paramétrage!$D$6:$F$27,3,0)=0,0,IF(J49="","saisir capacité",H49*P49*VLOOKUP(G49,Paramétrage!$D$6:$F$27,2,0))))</f>
        <v>18</v>
      </c>
      <c r="R49" s="408"/>
      <c r="S49" s="409">
        <f>IF(OR(G49="",K49="Mut+ext"),0,IF(ISERROR(Q49+R49)=TRUE,Q49,Q49+R49))</f>
        <v>18</v>
      </c>
      <c r="T49" s="39">
        <f>IF(G49="",0,IF(ISERROR(R49+Q49*VLOOKUP(G49,Paramétrage!$D$6:$F$27,3,0))=TRUE,S49,R49+Q49*VLOOKUP(G49,Paramétrage!$D$6:$F$27,3,0)))</f>
        <v>18</v>
      </c>
      <c r="U49" s="431"/>
      <c r="V49" s="431"/>
      <c r="W49" s="441">
        <v>18</v>
      </c>
      <c r="X49" s="431"/>
      <c r="Y49" s="411">
        <f>SUM(U49:X49)</f>
        <v>18</v>
      </c>
      <c r="Z49" s="446"/>
      <c r="AA49" s="447"/>
      <c r="AB49" s="448"/>
      <c r="AC49" s="40">
        <f>IF(B49="",0,IF(E49="",0,IF(SUMIF($B$49:$B$68,B49,$I$49:$I$68)=0,0,IF(E49="Obligatoire",AD49/I49,IF(F49="",AD49/SUMIF($B$49:$B$68,B49,$I$49:$I$68),AD49/(SUMIF($B$49:$B$68,B49,$I$49:$I$68)/F49))))))</f>
        <v>18</v>
      </c>
      <c r="AD49" s="412">
        <f>H49*I49</f>
        <v>342</v>
      </c>
    </row>
    <row r="50" spans="1:30">
      <c r="A50" s="477"/>
      <c r="B50" s="402" t="s">
        <v>87</v>
      </c>
      <c r="C50" s="399" t="s">
        <v>88</v>
      </c>
      <c r="D50" s="34" t="s">
        <v>34</v>
      </c>
      <c r="E50" s="26" t="s">
        <v>35</v>
      </c>
      <c r="F50" s="25"/>
      <c r="G50" s="405" t="s">
        <v>48</v>
      </c>
      <c r="H50" s="439">
        <v>30</v>
      </c>
      <c r="I50" s="405">
        <v>19</v>
      </c>
      <c r="J50" s="406">
        <v>19</v>
      </c>
      <c r="K50" s="27" t="s">
        <v>37</v>
      </c>
      <c r="L50" s="444"/>
      <c r="M50" s="444"/>
      <c r="N50" s="444"/>
      <c r="O50" s="445"/>
      <c r="P50" s="347">
        <f>IF(OR(J50="",G50=Paramétrage!$D$9,G50=Paramétrage!$D$12,G50=Paramétrage!$D$15,G50=Paramétrage!$D$18,G50=Paramétrage!$D$22,G50=Paramétrage!$D$25,AND(G50&lt;&gt;Paramétrage!$D$9,K50="Mut+ext")),0,ROUNDUP(I50/J50,0))</f>
        <v>1</v>
      </c>
      <c r="Q50" s="407">
        <f>IF(OR(G50="",K50="Mut+ext"),0,IF(VLOOKUP(G50,Paramétrage!$D$6:$F$27,3,0)=0,0,IF(J50="","saisir capacité",H50*P50*VLOOKUP(G50,Paramétrage!$D$6:$F$27,2,0))))</f>
        <v>30</v>
      </c>
      <c r="R50" s="414"/>
      <c r="S50" s="409">
        <f t="shared" si="1"/>
        <v>30</v>
      </c>
      <c r="T50" s="23">
        <f>IF(G50="",0,IF(ISERROR(R50+Q50*VLOOKUP(G50,Paramétrage!$D$6:$F$27,3,0))=TRUE,S50,R50+Q50*VLOOKUP(G50,Paramétrage!$D$6:$F$27,3,0)))</f>
        <v>30</v>
      </c>
      <c r="U50" s="410"/>
      <c r="V50" s="410"/>
      <c r="W50" s="440">
        <v>30</v>
      </c>
      <c r="X50" s="410"/>
      <c r="Y50" s="411">
        <f t="shared" ref="Y50:Y68" si="13">SUM(U50:X50)</f>
        <v>30</v>
      </c>
      <c r="Z50" s="443"/>
      <c r="AA50" s="444"/>
      <c r="AB50" s="445"/>
      <c r="AC50" s="22">
        <f t="shared" ref="AC50:AC57" si="14">IF(B50="",0,IF(E50="",0,IF(SUMIF($B$49:$B$68,B50,$I$49:$I$68)=0,0,IF(E50="Obligatoire",AD50/I50,IF(F50="",AD50/SUMIF($B$49:$B$68,B50,$I$49:$I$68),AD50/(SUMIF($B$49:$B$68,B50,$I$49:$I$68)/F50))))))</f>
        <v>30</v>
      </c>
      <c r="AD50" s="415">
        <f>H50*I50</f>
        <v>570</v>
      </c>
    </row>
    <row r="51" spans="1:30">
      <c r="A51" s="477"/>
      <c r="B51" s="402" t="s">
        <v>89</v>
      </c>
      <c r="C51" s="399" t="s">
        <v>90</v>
      </c>
      <c r="D51" s="34" t="s">
        <v>34</v>
      </c>
      <c r="E51" s="26" t="s">
        <v>35</v>
      </c>
      <c r="F51" s="25"/>
      <c r="G51" s="405" t="s">
        <v>36</v>
      </c>
      <c r="H51" s="29">
        <v>18</v>
      </c>
      <c r="I51" s="405">
        <v>68</v>
      </c>
      <c r="J51" s="406">
        <v>70</v>
      </c>
      <c r="K51" s="27" t="s">
        <v>91</v>
      </c>
      <c r="L51" s="444" t="s">
        <v>92</v>
      </c>
      <c r="M51" s="444"/>
      <c r="N51" s="444"/>
      <c r="O51" s="445"/>
      <c r="P51" s="347">
        <f>IF(OR(J51="",G51=Paramétrage!$D$9,G51=Paramétrage!$D$12,G51=Paramétrage!$D$15,G51=Paramétrage!$D$18,G51=Paramétrage!$D$22,G51=Paramétrage!$D$25,AND(G51&lt;&gt;Paramétrage!$D$9,K51="Mut+ext")),0,ROUNDUP(I51/J51,0))</f>
        <v>1</v>
      </c>
      <c r="Q51" s="407">
        <f>IF(OR(G51="",K51="Mut+ext"),0,IF(VLOOKUP(G51,Paramétrage!$D$6:$F$27,3,0)=0,0,IF(J51="","saisir capacité",H51*P51*VLOOKUP(G51,Paramétrage!$D$6:$F$27,2,0))))</f>
        <v>18</v>
      </c>
      <c r="R51" s="414"/>
      <c r="S51" s="409">
        <f t="shared" si="1"/>
        <v>18</v>
      </c>
      <c r="T51" s="23">
        <f>IF(G51="",0,IF(ISERROR(R51+Q51*VLOOKUP(G51,Paramétrage!$D$6:$F$27,3,0))=TRUE,S51,R51+Q51*VLOOKUP(G51,Paramétrage!$D$6:$F$27,3,0)))</f>
        <v>27</v>
      </c>
      <c r="U51" s="410"/>
      <c r="V51" s="410"/>
      <c r="W51" s="410">
        <v>18</v>
      </c>
      <c r="X51" s="410"/>
      <c r="Y51" s="411">
        <f t="shared" si="13"/>
        <v>18</v>
      </c>
      <c r="Z51" s="443">
        <v>80</v>
      </c>
      <c r="AA51" s="444"/>
      <c r="AB51" s="445"/>
      <c r="AC51" s="22">
        <f t="shared" si="14"/>
        <v>18</v>
      </c>
      <c r="AD51" s="415">
        <f t="shared" ref="AD51:AD62" si="15">H51*I51</f>
        <v>1224</v>
      </c>
    </row>
    <row r="52" spans="1:30">
      <c r="A52" s="477"/>
      <c r="B52" s="421" t="s">
        <v>93</v>
      </c>
      <c r="C52" s="400" t="s">
        <v>94</v>
      </c>
      <c r="D52" s="34" t="s">
        <v>34</v>
      </c>
      <c r="E52" s="26" t="s">
        <v>35</v>
      </c>
      <c r="F52" s="25"/>
      <c r="G52" s="405" t="s">
        <v>48</v>
      </c>
      <c r="H52" s="439">
        <v>20</v>
      </c>
      <c r="I52" s="405">
        <v>68</v>
      </c>
      <c r="J52" s="406">
        <v>68</v>
      </c>
      <c r="K52" s="27" t="s">
        <v>91</v>
      </c>
      <c r="L52" s="444" t="s">
        <v>92</v>
      </c>
      <c r="M52" s="444"/>
      <c r="N52" s="444"/>
      <c r="O52" s="445"/>
      <c r="P52" s="347">
        <f>IF(OR(J52="",G52=Paramétrage!$D$9,G52=Paramétrage!$D$12,G52=Paramétrage!$D$15,G52=Paramétrage!$D$18,G52=Paramétrage!$D$22,G52=Paramétrage!$D$25,AND(G52&lt;&gt;Paramétrage!$D$9,K52="Mut+ext")),0,ROUNDUP(I52/J52,0))</f>
        <v>1</v>
      </c>
      <c r="Q52" s="407">
        <f>IF(OR(G52="",K52="Mut+ext"),0,IF(VLOOKUP(G52,Paramétrage!$D$6:$F$27,3,0)=0,0,IF(J52="","saisir capacité",H52*P52*VLOOKUP(G52,Paramétrage!$D$6:$F$27,2,0))))</f>
        <v>20</v>
      </c>
      <c r="R52" s="414"/>
      <c r="S52" s="409">
        <f t="shared" si="1"/>
        <v>20</v>
      </c>
      <c r="T52" s="23">
        <f>IF(G52="",0,IF(ISERROR(R52+Q52*VLOOKUP(G52,Paramétrage!$D$6:$F$27,3,0))=TRUE,S52,R52+Q52*VLOOKUP(G52,Paramétrage!$D$6:$F$27,3,0)))</f>
        <v>20</v>
      </c>
      <c r="U52" s="440">
        <v>20</v>
      </c>
      <c r="V52" s="410"/>
      <c r="W52" s="410"/>
      <c r="X52" s="410"/>
      <c r="Y52" s="411">
        <f t="shared" si="13"/>
        <v>20</v>
      </c>
      <c r="Z52" s="443"/>
      <c r="AA52" s="444"/>
      <c r="AB52" s="445"/>
      <c r="AC52" s="22">
        <f t="shared" si="14"/>
        <v>20</v>
      </c>
      <c r="AD52" s="415">
        <f t="shared" si="15"/>
        <v>1360</v>
      </c>
    </row>
    <row r="53" spans="1:30">
      <c r="A53" s="477"/>
      <c r="B53" s="421" t="s">
        <v>95</v>
      </c>
      <c r="C53" s="400" t="s">
        <v>94</v>
      </c>
      <c r="D53" s="34" t="s">
        <v>34</v>
      </c>
      <c r="E53" s="26" t="s">
        <v>35</v>
      </c>
      <c r="F53" s="25"/>
      <c r="G53" s="405" t="s">
        <v>77</v>
      </c>
      <c r="H53" s="29">
        <v>20</v>
      </c>
      <c r="I53" s="405">
        <v>19</v>
      </c>
      <c r="J53" s="406">
        <v>19</v>
      </c>
      <c r="K53" s="27" t="s">
        <v>37</v>
      </c>
      <c r="L53" s="444"/>
      <c r="M53" s="444"/>
      <c r="N53" s="444"/>
      <c r="O53" s="445"/>
      <c r="P53" s="347">
        <f>IF(OR(J53="",G53=Paramétrage!$D$9,G53=Paramétrage!$D$12,G53=Paramétrage!$D$15,G53=Paramétrage!$D$18,G53=Paramétrage!$D$22,G53=Paramétrage!$D$25,AND(G53&lt;&gt;Paramétrage!$D$9,K53="Mut+ext")),0,ROUNDUP(I53/J53,0))</f>
        <v>1</v>
      </c>
      <c r="Q53" s="407">
        <f>IF(OR(G53="",K53="Mut+ext"),0,IF(VLOOKUP(G53,Paramétrage!$D$6:$F$27,3,0)=0,0,IF(J53="","saisir capacité",H53*P53*VLOOKUP(G53,Paramétrage!$D$6:$F$27,2,0))))</f>
        <v>20</v>
      </c>
      <c r="R53" s="414"/>
      <c r="S53" s="409">
        <f t="shared" si="1"/>
        <v>20</v>
      </c>
      <c r="T53" s="23">
        <f>IF(G53="",0,IF(ISERROR(R53+Q53*VLOOKUP(G53,Paramétrage!$D$6:$F$27,3,0))=TRUE,S53,R53+Q53*VLOOKUP(G53,Paramétrage!$D$6:$F$27,3,0)))</f>
        <v>20</v>
      </c>
      <c r="U53" s="410">
        <v>20</v>
      </c>
      <c r="V53" s="410"/>
      <c r="W53" s="410"/>
      <c r="X53" s="410"/>
      <c r="Y53" s="411">
        <f t="shared" si="13"/>
        <v>20</v>
      </c>
      <c r="Z53" s="443"/>
      <c r="AA53" s="444"/>
      <c r="AB53" s="445"/>
      <c r="AC53" s="22">
        <f t="shared" si="14"/>
        <v>20</v>
      </c>
      <c r="AD53" s="415">
        <f t="shared" si="15"/>
        <v>380</v>
      </c>
    </row>
    <row r="54" spans="1:30">
      <c r="A54" s="477"/>
      <c r="B54" s="421" t="s">
        <v>96</v>
      </c>
      <c r="C54" s="400" t="s">
        <v>97</v>
      </c>
      <c r="D54" s="34" t="s">
        <v>98</v>
      </c>
      <c r="E54" s="26" t="s">
        <v>35</v>
      </c>
      <c r="F54" s="394"/>
      <c r="G54" s="432" t="s">
        <v>99</v>
      </c>
      <c r="H54" s="29">
        <v>100</v>
      </c>
      <c r="I54" s="405">
        <v>18</v>
      </c>
      <c r="J54" s="406">
        <v>16</v>
      </c>
      <c r="K54" s="27" t="s">
        <v>37</v>
      </c>
      <c r="L54" s="444"/>
      <c r="M54" s="444"/>
      <c r="N54" s="444"/>
      <c r="O54" s="445"/>
      <c r="P54" s="347">
        <f>IF(OR(J54="",G54=Paramétrage!$D$9,G54=Paramétrage!$D$12,G54=Paramétrage!$D$15,G54=Paramétrage!$D$18,G54=Paramétrage!$D$22,G54=Paramétrage!$D$25,AND(G54&lt;&gt;Paramétrage!$D$9,K54="Mut+ext")),0,ROUNDUP(I54/J54,0))</f>
        <v>0</v>
      </c>
      <c r="Q54" s="407">
        <f>IF(OR(G54="",K54="Mut+ext"),0,IF(VLOOKUP(G54,Paramétrage!$D$6:$F$27,3,0)=0,0,IF(J54="","saisir capacité",H54*P54*VLOOKUP(G54,Paramétrage!$D$6:$F$27,2,0))))</f>
        <v>0</v>
      </c>
      <c r="R54" s="433">
        <v>90</v>
      </c>
      <c r="S54" s="409">
        <f>IF(OR(G54="",K54="Mut+ext"),0,IF(ISERROR(Q54+R54)=TRUE,Q54,Q54+R54))</f>
        <v>90</v>
      </c>
      <c r="T54" s="23">
        <f>IF(G54="",0,IF(ISERROR(R54+Q54*VLOOKUP(G54,Paramétrage!$D$6:$F$27,3,0))=TRUE,S54,R54+Q54*VLOOKUP(G54,Paramétrage!$D$6:$F$27,3,0)))</f>
        <v>90</v>
      </c>
      <c r="U54" s="410">
        <v>85</v>
      </c>
      <c r="V54" s="410">
        <v>5</v>
      </c>
      <c r="W54" s="410"/>
      <c r="X54" s="410"/>
      <c r="Y54" s="411">
        <f t="shared" si="13"/>
        <v>90</v>
      </c>
      <c r="Z54" s="452" t="s">
        <v>100</v>
      </c>
      <c r="AA54" s="453"/>
      <c r="AB54" s="454"/>
      <c r="AC54" s="22">
        <f t="shared" si="14"/>
        <v>100</v>
      </c>
      <c r="AD54" s="415">
        <f t="shared" si="15"/>
        <v>1800</v>
      </c>
    </row>
    <row r="55" spans="1:30">
      <c r="A55" s="477"/>
      <c r="B55" s="421" t="s">
        <v>101</v>
      </c>
      <c r="C55" s="400" t="s">
        <v>102</v>
      </c>
      <c r="D55" s="34" t="s">
        <v>103</v>
      </c>
      <c r="E55" s="26" t="s">
        <v>35</v>
      </c>
      <c r="F55" s="394"/>
      <c r="G55" s="432" t="s">
        <v>99</v>
      </c>
      <c r="H55" s="29">
        <v>100</v>
      </c>
      <c r="I55" s="405">
        <v>1</v>
      </c>
      <c r="J55" s="406">
        <v>3</v>
      </c>
      <c r="K55" s="27" t="s">
        <v>37</v>
      </c>
      <c r="L55" s="444"/>
      <c r="M55" s="444"/>
      <c r="N55" s="444"/>
      <c r="O55" s="445"/>
      <c r="P55" s="347">
        <f>IF(OR(J55="",G55=Paramétrage!$D$9,G55=Paramétrage!$D$12,G55=Paramétrage!$D$15,G55=Paramétrage!$D$18,G55=Paramétrage!$D$22,G55=Paramétrage!$D$25,AND(G55&lt;&gt;Paramétrage!$D$9,K55="Mut+ext")),0,ROUNDUP(I55/J55,0))</f>
        <v>0</v>
      </c>
      <c r="Q55" s="407">
        <f>IF(OR(G55="",K55="Mut+ext"),0,IF(VLOOKUP(G55,Paramétrage!$D$6:$F$27,3,0)=0,0,IF(J55="","saisir capacité",H55*P55*VLOOKUP(G55,Paramétrage!$D$6:$F$27,2,0))))</f>
        <v>0</v>
      </c>
      <c r="R55" s="433">
        <v>5</v>
      </c>
      <c r="S55" s="409">
        <f>IF(OR(G55="",K55="Mut+ext"),0,IF(ISERROR(Q55+R55)=TRUE,Q55,Q55+R55))</f>
        <v>5</v>
      </c>
      <c r="T55" s="23">
        <f>IF(G55="",0,IF(ISERROR(R55+Q55*VLOOKUP(G55,Paramétrage!$D$6:$F$27,3,0))=TRUE,S55,R55+Q55*VLOOKUP(G55,Paramétrage!$D$6:$F$27,3,0)))</f>
        <v>5</v>
      </c>
      <c r="U55" s="410">
        <v>5</v>
      </c>
      <c r="V55" s="410"/>
      <c r="W55" s="410"/>
      <c r="X55" s="410"/>
      <c r="Y55" s="411">
        <f t="shared" si="13"/>
        <v>5</v>
      </c>
      <c r="Z55" s="396" t="s">
        <v>104</v>
      </c>
      <c r="AA55" s="397"/>
      <c r="AB55" s="398"/>
      <c r="AC55" s="22">
        <f t="shared" si="14"/>
        <v>100</v>
      </c>
      <c r="AD55" s="415">
        <f t="shared" si="15"/>
        <v>100</v>
      </c>
    </row>
    <row r="56" spans="1:30">
      <c r="A56" s="477"/>
      <c r="B56" s="421" t="s">
        <v>105</v>
      </c>
      <c r="C56" s="400" t="s">
        <v>106</v>
      </c>
      <c r="D56" s="34" t="s">
        <v>98</v>
      </c>
      <c r="E56" s="26" t="s">
        <v>35</v>
      </c>
      <c r="F56" s="394"/>
      <c r="G56" s="432" t="s">
        <v>107</v>
      </c>
      <c r="H56" s="29"/>
      <c r="I56" s="410">
        <v>18</v>
      </c>
      <c r="J56" s="406">
        <v>16</v>
      </c>
      <c r="K56" s="27" t="s">
        <v>37</v>
      </c>
      <c r="L56" s="444"/>
      <c r="M56" s="444"/>
      <c r="N56" s="444"/>
      <c r="O56" s="445"/>
      <c r="P56" s="347">
        <f>IF(OR(J56="",G56=Paramétrage!$D$9,G56=Paramétrage!$D$12,G56=Paramétrage!$D$15,G56=Paramétrage!$D$18,G56=Paramétrage!$D$22,G56=Paramétrage!$D$25,AND(G56&lt;&gt;Paramétrage!$D$9,K56="Mut+ext")),0,ROUNDUP(I56/J56,0))</f>
        <v>0</v>
      </c>
      <c r="Q56" s="407">
        <f>IF(OR(G56="",K56="Mut+ext"),0,IF(VLOOKUP(G56,Paramétrage!$D$6:$F$27,3,0)=0,0,IF(J56="","saisir capacité",H56*P56*VLOOKUP(G56,Paramétrage!$D$6:$F$27,2,0))))</f>
        <v>0</v>
      </c>
      <c r="R56" s="433">
        <v>90</v>
      </c>
      <c r="S56" s="409">
        <f>IF(OR(G56="",K56="Mut+ext"),0,IF(ISERROR(Q56+R56)=TRUE,Q56,Q56+R56))</f>
        <v>90</v>
      </c>
      <c r="T56" s="23">
        <f>IF(G56="",0,IF(ISERROR(R56+Q56*VLOOKUP(G56,Paramétrage!$D$6:$F$27,3,0))=TRUE,S56,R56+Q56*VLOOKUP(G56,Paramétrage!$D$6:$F$27,3,0)))</f>
        <v>90</v>
      </c>
      <c r="U56" s="410">
        <v>85</v>
      </c>
      <c r="V56" s="410">
        <v>5</v>
      </c>
      <c r="W56" s="410"/>
      <c r="X56" s="410"/>
      <c r="Y56" s="411">
        <f t="shared" si="13"/>
        <v>90</v>
      </c>
      <c r="Z56" s="396" t="s">
        <v>108</v>
      </c>
      <c r="AA56" s="397"/>
      <c r="AB56" s="398"/>
      <c r="AC56" s="22">
        <f t="shared" si="14"/>
        <v>0</v>
      </c>
      <c r="AD56" s="415">
        <f t="shared" si="15"/>
        <v>0</v>
      </c>
    </row>
    <row r="57" spans="1:30">
      <c r="A57" s="477"/>
      <c r="B57" s="421" t="s">
        <v>109</v>
      </c>
      <c r="C57" s="400" t="s">
        <v>110</v>
      </c>
      <c r="D57" s="34" t="s">
        <v>103</v>
      </c>
      <c r="E57" s="26" t="s">
        <v>35</v>
      </c>
      <c r="F57" s="394"/>
      <c r="G57" s="432" t="s">
        <v>107</v>
      </c>
      <c r="H57" s="29">
        <v>580</v>
      </c>
      <c r="I57" s="410">
        <v>1</v>
      </c>
      <c r="J57" s="406">
        <v>3</v>
      </c>
      <c r="K57" s="27" t="s">
        <v>37</v>
      </c>
      <c r="L57" s="444"/>
      <c r="M57" s="444"/>
      <c r="N57" s="444"/>
      <c r="O57" s="445"/>
      <c r="P57" s="347">
        <f>IF(OR(J57="",G57=Paramétrage!$D$9,G57=Paramétrage!$D$12,G57=Paramétrage!$D$15,G57=Paramétrage!$D$18,G57=Paramétrage!$D$22,G57=Paramétrage!$D$25,AND(G57&lt;&gt;Paramétrage!$D$9,K57="Mut+ext")),0,ROUNDUP(I57/J57,0))</f>
        <v>0</v>
      </c>
      <c r="Q57" s="407">
        <f>IF(OR(G57="",K57="Mut+ext"),0,IF(VLOOKUP(G57,Paramétrage!$D$6:$F$27,3,0)=0,0,IF(J57="","saisir capacité",H57*P57*VLOOKUP(G57,Paramétrage!$D$6:$F$27,2,0))))</f>
        <v>0</v>
      </c>
      <c r="R57" s="433">
        <v>5</v>
      </c>
      <c r="S57" s="409">
        <f>IF(OR(G57="",K57="Mut+ext"),0,IF(ISERROR(Q57+R57)=TRUE,Q57,Q57+R57))</f>
        <v>5</v>
      </c>
      <c r="T57" s="23">
        <f>IF(G57="",0,IF(ISERROR(R57+Q57*VLOOKUP(G57,Paramétrage!$D$6:$F$27,3,0))=TRUE,S57,R57+Q57*VLOOKUP(G57,Paramétrage!$D$6:$F$27,3,0)))</f>
        <v>5</v>
      </c>
      <c r="U57" s="410">
        <v>5</v>
      </c>
      <c r="V57" s="410"/>
      <c r="W57" s="410"/>
      <c r="X57" s="410"/>
      <c r="Y57" s="411">
        <f t="shared" si="13"/>
        <v>5</v>
      </c>
      <c r="Z57" s="396" t="s">
        <v>111</v>
      </c>
      <c r="AA57" s="397"/>
      <c r="AB57" s="398"/>
      <c r="AC57" s="22">
        <f t="shared" si="14"/>
        <v>580</v>
      </c>
      <c r="AD57" s="415">
        <f t="shared" si="15"/>
        <v>580</v>
      </c>
    </row>
    <row r="58" spans="1:30" hidden="1">
      <c r="A58" s="477"/>
      <c r="B58" s="421"/>
      <c r="C58" s="24"/>
      <c r="D58" s="393"/>
      <c r="E58" s="383"/>
      <c r="F58" s="394"/>
      <c r="G58" s="405"/>
      <c r="H58" s="29"/>
      <c r="I58" s="405"/>
      <c r="J58" s="406"/>
      <c r="K58" s="27"/>
      <c r="L58" s="444"/>
      <c r="M58" s="444"/>
      <c r="N58" s="444"/>
      <c r="O58" s="445"/>
      <c r="P58" s="347">
        <f>IF(OR(J58="",G58=Paramétrage!$D$9,G58=Paramétrage!$D$12,G58=Paramétrage!$D$15,G58=Paramétrage!$D$18,G58=Paramétrage!$D$22,G58=Paramétrage!$D$25,AND(G58&lt;&gt;Paramétrage!$D$9,K58="Mut+ext")),0,ROUNDUP(I58/J58,0))</f>
        <v>0</v>
      </c>
      <c r="Q58" s="407">
        <f>IF(OR(G58="",K58="Mut+ext"),0,IF(VLOOKUP(G58,Paramétrage!$D$6:$F$27,3,0)=0,0,IF(J58="","saisir capacité",H58*P58*VLOOKUP(G58,Paramétrage!$D$6:$F$27,2,0))))</f>
        <v>0</v>
      </c>
      <c r="R58" s="414"/>
      <c r="S58" s="409">
        <f t="shared" si="1"/>
        <v>0</v>
      </c>
      <c r="T58" s="23">
        <f>IF(G58="",0,IF(ISERROR(R58+Q58*VLOOKUP(G58,Paramétrage!$D$6:$F$27,3,0))=TRUE,S58,R58+Q58*VLOOKUP(G58,Paramétrage!$D$6:$F$27,3,0)))</f>
        <v>0</v>
      </c>
      <c r="U58" s="410"/>
      <c r="V58" s="410"/>
      <c r="W58" s="410"/>
      <c r="X58" s="410"/>
      <c r="Y58" s="411">
        <f t="shared" si="13"/>
        <v>0</v>
      </c>
      <c r="Z58" s="452"/>
      <c r="AA58" s="453"/>
      <c r="AB58" s="454"/>
      <c r="AC58" s="22">
        <f>IF(B58="",0,IF(E58="",0,IF(SUMIF(B57:B87,B58,I57:I87)=0,0,IF(E58="Obligatoire",AD58/I58,IF(F58="",AD58/SUMIF(B57:B87,B58,I57:I87),AD58/(SUMIF(B57:B87,B58,I57:I87)/F58))))))</f>
        <v>0</v>
      </c>
      <c r="AD58" s="415">
        <f t="shared" si="15"/>
        <v>0</v>
      </c>
    </row>
    <row r="59" spans="1:30" hidden="1">
      <c r="A59" s="477"/>
      <c r="B59" s="421"/>
      <c r="C59" s="383"/>
      <c r="D59" s="393"/>
      <c r="E59" s="383"/>
      <c r="F59" s="394"/>
      <c r="G59" s="405"/>
      <c r="H59" s="29"/>
      <c r="I59" s="405"/>
      <c r="J59" s="406"/>
      <c r="K59" s="27"/>
      <c r="L59" s="444"/>
      <c r="M59" s="444"/>
      <c r="N59" s="444"/>
      <c r="O59" s="445"/>
      <c r="P59" s="347">
        <f>IF(OR(J59="",G59=Paramétrage!$D$9,G59=Paramétrage!$D$12,G59=Paramétrage!$D$15,G59=Paramétrage!$D$18,G59=Paramétrage!$D$22,G59=Paramétrage!$D$25,AND(G59&lt;&gt;Paramétrage!$D$9,K59="Mut+ext")),0,ROUNDUP(I59/J59,0))</f>
        <v>0</v>
      </c>
      <c r="Q59" s="407">
        <f>IF(OR(G59="",K59="Mut+ext"),0,IF(VLOOKUP(G59,Paramétrage!$D$6:$F$27,3,0)=0,0,IF(J59="","saisir capacité",H59*P59*VLOOKUP(G59,Paramétrage!$D$6:$F$27,2,0))))</f>
        <v>0</v>
      </c>
      <c r="R59" s="414"/>
      <c r="S59" s="409">
        <f>IF(OR(G59="",K59="Mut+ext"),0,IF(ISERROR(Q59+R59)=TRUE,Q59,Q59+R59))</f>
        <v>0</v>
      </c>
      <c r="T59" s="23">
        <f>IF(G59="",0,IF(ISERROR(R59+Q59*VLOOKUP(G59,Paramétrage!$D$6:$F$27,3,0))=TRUE,S59,R59+Q59*VLOOKUP(G59,Paramétrage!$D$6:$F$27,3,0)))</f>
        <v>0</v>
      </c>
      <c r="U59" s="410"/>
      <c r="V59" s="410"/>
      <c r="W59" s="410"/>
      <c r="X59" s="410"/>
      <c r="Y59" s="411">
        <f t="shared" si="13"/>
        <v>0</v>
      </c>
      <c r="Z59" s="452"/>
      <c r="AA59" s="453"/>
      <c r="AB59" s="454"/>
      <c r="AC59" s="22">
        <f>IF(B59="",0,IF(E59="",0,IF(SUMIF(B58:B88,B59,I58:I88)=0,0,IF(E59="Obligatoire",AD59/I59,IF(F59="",AD59/SUMIF(B58:B88,B59,I58:I88),AD59/(SUMIF(B58:B88,B59,I58:I88)/F59))))))</f>
        <v>0</v>
      </c>
      <c r="AD59" s="415">
        <f t="shared" si="15"/>
        <v>0</v>
      </c>
    </row>
    <row r="60" spans="1:30" hidden="1">
      <c r="A60" s="477"/>
      <c r="B60" s="421"/>
      <c r="C60" s="383"/>
      <c r="D60" s="393"/>
      <c r="E60" s="395"/>
      <c r="F60" s="394"/>
      <c r="G60" s="405"/>
      <c r="H60" s="29"/>
      <c r="I60" s="405"/>
      <c r="J60" s="406"/>
      <c r="K60" s="27"/>
      <c r="L60" s="444"/>
      <c r="M60" s="444"/>
      <c r="N60" s="444"/>
      <c r="O60" s="445"/>
      <c r="P60" s="347">
        <f>IF(OR(J60="",G60=Paramétrage!$D$9,G60=Paramétrage!$D$12,G60=Paramétrage!$D$15,G60=Paramétrage!$D$18,G60=Paramétrage!$D$22,G60=Paramétrage!$D$25,AND(G60&lt;&gt;Paramétrage!$D$9,K60="Mut+ext")),0,ROUNDUP(I60/J60,0))</f>
        <v>0</v>
      </c>
      <c r="Q60" s="407">
        <f>IF(OR(G60="",K60="Mut+ext"),0,IF(VLOOKUP(G60,Paramétrage!$D$6:$F$27,3,0)=0,0,IF(J60="","saisir capacité",H60*P60*VLOOKUP(G60,Paramétrage!$D$6:$F$27,2,0))))</f>
        <v>0</v>
      </c>
      <c r="R60" s="414"/>
      <c r="S60" s="409">
        <f>IF(OR(G60="",K60="Mut+ext"),0,IF(ISERROR(Q60+R60)=TRUE,Q60,Q60+R60))</f>
        <v>0</v>
      </c>
      <c r="T60" s="23">
        <f>IF(G60="",0,IF(ISERROR(R60+Q60*VLOOKUP(G60,Paramétrage!$D$6:$F$27,3,0))=TRUE,S60,R60+Q60*VLOOKUP(G60,Paramétrage!$D$6:$F$27,3,0)))</f>
        <v>0</v>
      </c>
      <c r="U60" s="410"/>
      <c r="V60" s="410"/>
      <c r="W60" s="410"/>
      <c r="X60" s="410"/>
      <c r="Y60" s="411">
        <f t="shared" si="13"/>
        <v>0</v>
      </c>
      <c r="Z60" s="396"/>
      <c r="AA60" s="397"/>
      <c r="AB60" s="398"/>
      <c r="AC60" s="22">
        <f t="shared" ref="AC60" si="16">IF(B60="",0,IF(E60="",0,IF(SUMIF(B59:B89,B60,I59:I89)=0,0,IF(E60="Obligatoire",AD60/I60,IF(F60="",AD60/SUMIF(B59:B89,B60,I59:I89),AD60/(SUMIF(B59:B89,B60,I59:I89)/F60))))))</f>
        <v>0</v>
      </c>
      <c r="AD60" s="415">
        <f t="shared" si="15"/>
        <v>0</v>
      </c>
    </row>
    <row r="61" spans="1:30" hidden="1">
      <c r="A61" s="477"/>
      <c r="B61" s="421"/>
      <c r="C61" s="383"/>
      <c r="D61" s="393"/>
      <c r="E61" s="395"/>
      <c r="F61" s="394"/>
      <c r="G61" s="405"/>
      <c r="H61" s="29"/>
      <c r="I61" s="410"/>
      <c r="J61" s="406"/>
      <c r="K61" s="27"/>
      <c r="L61" s="444"/>
      <c r="M61" s="444"/>
      <c r="N61" s="444"/>
      <c r="O61" s="445"/>
      <c r="P61" s="347">
        <f>IF(OR(J61="",G61=Paramétrage!$D$9,G61=Paramétrage!$D$12,G61=Paramétrage!$D$15,G61=Paramétrage!$D$18,G61=Paramétrage!$D$22,G61=Paramétrage!$D$25,AND(G61&lt;&gt;Paramétrage!$D$9,K61="Mut+ext")),0,ROUNDUP(I61/J61,0))</f>
        <v>0</v>
      </c>
      <c r="Q61" s="407">
        <f>IF(OR(G61="",K61="Mut+ext"),0,IF(VLOOKUP(G61,Paramétrage!$D$6:$F$27,3,0)=0,0,IF(J61="","saisir capacité",H61*P61*VLOOKUP(G61,Paramétrage!$D$6:$F$27,2,0))))</f>
        <v>0</v>
      </c>
      <c r="R61" s="414"/>
      <c r="S61" s="409">
        <f>IF(OR(G61="",K61="Mut+ext"),0,IF(ISERROR(Q61+R61)=TRUE,Q61,Q61+R61))</f>
        <v>0</v>
      </c>
      <c r="T61" s="23">
        <f>IF(G61="",0,IF(ISERROR(R61+Q61*VLOOKUP(G61,Paramétrage!$D$6:$F$27,3,0))=TRUE,S61,R61+Q61*VLOOKUP(G61,Paramétrage!$D$6:$F$27,3,0)))</f>
        <v>0</v>
      </c>
      <c r="U61" s="410"/>
      <c r="V61" s="410"/>
      <c r="W61" s="410"/>
      <c r="X61" s="410"/>
      <c r="Y61" s="411">
        <f t="shared" si="13"/>
        <v>0</v>
      </c>
      <c r="Z61" s="396"/>
      <c r="AA61" s="397"/>
      <c r="AB61" s="398"/>
      <c r="AC61" s="22">
        <f>IF(B61="",0,IF(E61="",0,IF(SUMIF(B60:B89,B61,I60:I89)=0,0,IF(E61="Obligatoire",AD61/I61,IF(F61="",AD61/SUMIF(B60:B89,B61,I60:I89),AD61/(SUMIF(B60:B89,B61,I60:I89)/F61))))))</f>
        <v>0</v>
      </c>
      <c r="AD61" s="415">
        <f t="shared" si="15"/>
        <v>0</v>
      </c>
    </row>
    <row r="62" spans="1:30" hidden="1">
      <c r="A62" s="477"/>
      <c r="B62" s="421"/>
      <c r="C62" s="383"/>
      <c r="D62" s="393"/>
      <c r="E62" s="395"/>
      <c r="F62" s="394"/>
      <c r="G62" s="405"/>
      <c r="H62" s="29"/>
      <c r="I62" s="410"/>
      <c r="J62" s="406"/>
      <c r="K62" s="27"/>
      <c r="L62" s="444"/>
      <c r="M62" s="444"/>
      <c r="N62" s="444"/>
      <c r="O62" s="445"/>
      <c r="P62" s="347">
        <f>IF(OR(J62="",G62=Paramétrage!$D$9,G62=Paramétrage!$D$12,G62=Paramétrage!$D$15,G62=Paramétrage!$D$18,G62=Paramétrage!$D$22,G62=Paramétrage!$D$25,AND(G62&lt;&gt;Paramétrage!$D$9,K62="Mut+ext")),0,ROUNDUP(I62/J62,0))</f>
        <v>0</v>
      </c>
      <c r="Q62" s="407">
        <f>IF(OR(G62="",K62="Mut+ext"),0,IF(VLOOKUP(G62,Paramétrage!$D$6:$F$27,3,0)=0,0,IF(J62="","saisir capacité",H62*P62*VLOOKUP(G62,Paramétrage!$D$6:$F$27,2,0))))</f>
        <v>0</v>
      </c>
      <c r="R62" s="414"/>
      <c r="S62" s="409">
        <f>IF(OR(G62="",K62="Mut+ext"),0,IF(ISERROR(Q62+R62)=TRUE,Q62,Q62+R62))</f>
        <v>0</v>
      </c>
      <c r="T62" s="23">
        <f>IF(G62="",0,IF(ISERROR(R62+Q62*VLOOKUP(G62,Paramétrage!$D$6:$F$27,3,0))=TRUE,S62,R62+Q62*VLOOKUP(G62,Paramétrage!$D$6:$F$27,3,0)))</f>
        <v>0</v>
      </c>
      <c r="U62" s="410"/>
      <c r="V62" s="410"/>
      <c r="W62" s="410"/>
      <c r="X62" s="410"/>
      <c r="Y62" s="411">
        <f t="shared" si="13"/>
        <v>0</v>
      </c>
      <c r="Z62" s="396"/>
      <c r="AA62" s="397"/>
      <c r="AB62" s="398"/>
      <c r="AC62" s="22">
        <f>IF(B62="",0,IF(E62="",0,IF(SUMIF(B61:B89,B62,I61:I89)=0,0,IF(E62="Obligatoire",AD62/I62,IF(F62="",AD62/SUMIF(B61:B89,B62,I61:I89),AD62/(SUMIF(B61:B89,B62,I61:I89)/F62))))))</f>
        <v>0</v>
      </c>
      <c r="AD62" s="415">
        <f t="shared" si="15"/>
        <v>0</v>
      </c>
    </row>
    <row r="63" spans="1:30" hidden="1">
      <c r="A63" s="477"/>
      <c r="B63" s="421"/>
      <c r="C63" s="24"/>
      <c r="D63" s="34"/>
      <c r="E63" s="26"/>
      <c r="F63" s="25"/>
      <c r="G63" s="413"/>
      <c r="H63" s="29"/>
      <c r="I63" s="410"/>
      <c r="J63" s="406"/>
      <c r="K63" s="27"/>
      <c r="L63" s="444"/>
      <c r="M63" s="444"/>
      <c r="N63" s="444"/>
      <c r="O63" s="445"/>
      <c r="P63" s="347">
        <f>IF(OR(J63="",G63=Paramétrage!$D$9,G63=Paramétrage!$D$12,G63=Paramétrage!$D$15,G63=Paramétrage!$D$18,G63=Paramétrage!$D$22,G63=Paramétrage!$D$25,AND(G63&lt;&gt;Paramétrage!$D$9,K63="Mut+ext")),0,ROUNDUP(I63/J63,0))</f>
        <v>0</v>
      </c>
      <c r="Q63" s="407">
        <f>IF(OR(G63="",K63="Mut+ext"),0,IF(VLOOKUP(G63,Paramétrage!$D$6:$F$27,3,0)=0,0,IF(J63="","saisir capacité",H63*P63*VLOOKUP(G63,Paramétrage!$D$6:$F$27,2,0))))</f>
        <v>0</v>
      </c>
      <c r="R63" s="414"/>
      <c r="S63" s="409">
        <f t="shared" si="1"/>
        <v>0</v>
      </c>
      <c r="T63" s="23">
        <f>IF(G63="",0,IF(ISERROR(R63+Q63*VLOOKUP(G63,Paramétrage!$D$6:$F$27,3,0))=TRUE,S63,R63+Q63*VLOOKUP(G63,Paramétrage!$D$6:$F$27,3,0)))</f>
        <v>0</v>
      </c>
      <c r="U63" s="410"/>
      <c r="V63" s="410"/>
      <c r="W63" s="410"/>
      <c r="X63" s="410"/>
      <c r="Y63" s="411">
        <f t="shared" si="13"/>
        <v>0</v>
      </c>
      <c r="Z63" s="443"/>
      <c r="AA63" s="444"/>
      <c r="AB63" s="445"/>
      <c r="AC63" s="22">
        <f>IF(B63="",0,IF(E63="",0,IF(SUMIF(B49:B68,B63,I49:I68)=0,0,IF(E63="Obligatoire",AD63/I63,IF(F63="",AD63/SUMIF(B49:B68,B63,I49:I68),AD63/(SUMIF(B49:B68,B63,I49:I68)/F63))))))</f>
        <v>0</v>
      </c>
      <c r="AD63" s="415">
        <f t="shared" ref="AD63:AD68" si="17">H63*I63</f>
        <v>0</v>
      </c>
    </row>
    <row r="64" spans="1:30" hidden="1">
      <c r="A64" s="477"/>
      <c r="B64" s="422"/>
      <c r="C64" s="24"/>
      <c r="D64" s="34"/>
      <c r="E64" s="26"/>
      <c r="F64" s="25"/>
      <c r="G64" s="413"/>
      <c r="H64" s="29"/>
      <c r="I64" s="410"/>
      <c r="J64" s="406"/>
      <c r="K64" s="27"/>
      <c r="L64" s="444"/>
      <c r="M64" s="444"/>
      <c r="N64" s="444"/>
      <c r="O64" s="445"/>
      <c r="P64" s="347">
        <f>IF(OR(J64="",G64=Paramétrage!$D$9,G64=Paramétrage!$D$12,G64=Paramétrage!$D$15,G64=Paramétrage!$D$18,G64=Paramétrage!$D$22,G64=Paramétrage!$D$25,AND(G64&lt;&gt;Paramétrage!$D$9,K64="Mut+ext")),0,ROUNDUP(I64/J64,0))</f>
        <v>0</v>
      </c>
      <c r="Q64" s="407">
        <f>IF(OR(G64="",K64="Mut+ext"),0,IF(VLOOKUP(G64,Paramétrage!$D$6:$F$27,3,0)=0,0,IF(J64="","saisir capacité",H64*P64*VLOOKUP(G64,Paramétrage!$D$6:$F$27,2,0))))</f>
        <v>0</v>
      </c>
      <c r="R64" s="414"/>
      <c r="S64" s="409">
        <f t="shared" si="1"/>
        <v>0</v>
      </c>
      <c r="T64" s="23">
        <f>IF(G64="",0,IF(ISERROR(R64+Q64*VLOOKUP(G64,Paramétrage!$D$6:$F$27,3,0))=TRUE,S64,R64+Q64*VLOOKUP(G64,Paramétrage!$D$6:$F$27,3,0)))</f>
        <v>0</v>
      </c>
      <c r="U64" s="410"/>
      <c r="V64" s="410"/>
      <c r="W64" s="410"/>
      <c r="X64" s="410"/>
      <c r="Y64" s="411">
        <f t="shared" si="13"/>
        <v>0</v>
      </c>
      <c r="Z64" s="443"/>
      <c r="AA64" s="444"/>
      <c r="AB64" s="445"/>
      <c r="AC64" s="22">
        <f>IF(B64="",0,IF(E64="",0,IF(SUMIF(B49:B68,B64,I49:I68)=0,0,IF(E64="Obligatoire",AD64/I64,IF(F64="",AD64/SUMIF(B49:B68,B64,I49:I68),AD64/(SUMIF(B49:B68,B64,I49:I68)/F64))))))</f>
        <v>0</v>
      </c>
      <c r="AD64" s="415">
        <f t="shared" si="17"/>
        <v>0</v>
      </c>
    </row>
    <row r="65" spans="1:30" hidden="1">
      <c r="A65" s="477"/>
      <c r="B65" s="421"/>
      <c r="C65" s="24"/>
      <c r="D65" s="34"/>
      <c r="E65" s="26"/>
      <c r="F65" s="25"/>
      <c r="G65" s="413"/>
      <c r="H65" s="29"/>
      <c r="I65" s="410"/>
      <c r="J65" s="406"/>
      <c r="K65" s="27"/>
      <c r="L65" s="444"/>
      <c r="M65" s="444"/>
      <c r="N65" s="444"/>
      <c r="O65" s="445"/>
      <c r="P65" s="347">
        <f>IF(OR(J65="",G65=Paramétrage!$D$9,G65=Paramétrage!$D$12,G65=Paramétrage!$D$15,G65=Paramétrage!$D$18,G65=Paramétrage!$D$22,G65=Paramétrage!$D$25,AND(G65&lt;&gt;Paramétrage!$D$9,K65="Mut+ext")),0,ROUNDUP(I65/J65,0))</f>
        <v>0</v>
      </c>
      <c r="Q65" s="407">
        <f>IF(OR(G65="",K65="Mut+ext"),0,IF(VLOOKUP(G65,Paramétrage!$D$6:$F$27,3,0)=0,0,IF(J65="","saisir capacité",H65*P65*VLOOKUP(G65,Paramétrage!$D$6:$F$27,2,0))))</f>
        <v>0</v>
      </c>
      <c r="R65" s="414"/>
      <c r="S65" s="409">
        <f t="shared" si="1"/>
        <v>0</v>
      </c>
      <c r="T65" s="23">
        <f>IF(G65="",0,IF(ISERROR(R65+Q65*VLOOKUP(G65,Paramétrage!$D$6:$F$27,3,0))=TRUE,S65,R65+Q65*VLOOKUP(G65,Paramétrage!$D$6:$F$27,3,0)))</f>
        <v>0</v>
      </c>
      <c r="U65" s="410"/>
      <c r="V65" s="410"/>
      <c r="W65" s="410"/>
      <c r="X65" s="410"/>
      <c r="Y65" s="411">
        <f t="shared" si="13"/>
        <v>0</v>
      </c>
      <c r="Z65" s="443"/>
      <c r="AA65" s="444"/>
      <c r="AB65" s="445"/>
      <c r="AC65" s="22">
        <f>IF(B65="",0,IF(E65="",0,IF(SUMIF(B49:B68,B65,I49:I68)=0,0,IF(E65="Obligatoire",AD65/I65,IF(F65="",AD65/SUMIF(B49:B68,B65,I49:I68),AD65/(SUMIF(B49:B68,B65,I49:I68)/F65))))))</f>
        <v>0</v>
      </c>
      <c r="AD65" s="415">
        <f t="shared" si="17"/>
        <v>0</v>
      </c>
    </row>
    <row r="66" spans="1:30" hidden="1">
      <c r="A66" s="477"/>
      <c r="B66" s="421"/>
      <c r="C66" s="24"/>
      <c r="D66" s="34"/>
      <c r="E66" s="26"/>
      <c r="F66" s="25"/>
      <c r="G66" s="413"/>
      <c r="H66" s="29"/>
      <c r="I66" s="410"/>
      <c r="J66" s="406"/>
      <c r="K66" s="27"/>
      <c r="L66" s="444"/>
      <c r="M66" s="444"/>
      <c r="N66" s="444"/>
      <c r="O66" s="445"/>
      <c r="P66" s="347">
        <f>IF(OR(J66="",G66=Paramétrage!$D$9,G66=Paramétrage!$D$12,G66=Paramétrage!$D$15,G66=Paramétrage!$D$18,G66=Paramétrage!$D$22,G66=Paramétrage!$D$25,AND(G66&lt;&gt;Paramétrage!$D$9,K66="Mut+ext")),0,ROUNDUP(I66/J66,0))</f>
        <v>0</v>
      </c>
      <c r="Q66" s="407">
        <f>IF(OR(G66="",K66="Mut+ext"),0,IF(VLOOKUP(G66,Paramétrage!$D$6:$F$27,3,0)=0,0,IF(J66="","saisir capacité",H66*P66*VLOOKUP(G66,Paramétrage!$D$6:$F$27,2,0))))</f>
        <v>0</v>
      </c>
      <c r="R66" s="414"/>
      <c r="S66" s="409">
        <f t="shared" si="1"/>
        <v>0</v>
      </c>
      <c r="T66" s="23">
        <f>IF(G66="",0,IF(ISERROR(R66+Q66*VLOOKUP(G66,Paramétrage!$D$6:$F$27,3,0))=TRUE,S66,R66+Q66*VLOOKUP(G66,Paramétrage!$D$6:$F$27,3,0)))</f>
        <v>0</v>
      </c>
      <c r="U66" s="416"/>
      <c r="V66" s="416"/>
      <c r="W66" s="416"/>
      <c r="X66" s="416"/>
      <c r="Y66" s="411">
        <f t="shared" si="13"/>
        <v>0</v>
      </c>
      <c r="Z66" s="443"/>
      <c r="AA66" s="444"/>
      <c r="AB66" s="445"/>
      <c r="AC66" s="22">
        <f>IF(B66="",0,IF(E66="",0,IF(SUMIF(B49:B68,B66,I49:I68)=0,0,IF(E66="Obligatoire",AD66/I66,IF(F66="",AD66/SUMIF(B49:B68,B66,I49:I68),AD66/(SUMIF(B49:B68,B66,I49:I68)/F66))))))</f>
        <v>0</v>
      </c>
      <c r="AD66" s="415">
        <f t="shared" si="17"/>
        <v>0</v>
      </c>
    </row>
    <row r="67" spans="1:30" hidden="1">
      <c r="A67" s="477"/>
      <c r="B67" s="421"/>
      <c r="C67" s="24"/>
      <c r="D67" s="34"/>
      <c r="E67" s="26"/>
      <c r="F67" s="25"/>
      <c r="G67" s="413"/>
      <c r="H67" s="29"/>
      <c r="I67" s="410"/>
      <c r="J67" s="406"/>
      <c r="K67" s="27"/>
      <c r="L67" s="444"/>
      <c r="M67" s="444"/>
      <c r="N67" s="444"/>
      <c r="O67" s="445"/>
      <c r="P67" s="347">
        <f>IF(OR(J67="",G67=Paramétrage!$D$9,G67=Paramétrage!$D$12,G67=Paramétrage!$D$15,G67=Paramétrage!$D$18,G67=Paramétrage!$D$22,G67=Paramétrage!$D$25,AND(G67&lt;&gt;Paramétrage!$D$9,K67="Mut+ext")),0,ROUNDUP(I67/J67,0))</f>
        <v>0</v>
      </c>
      <c r="Q67" s="407">
        <f>IF(OR(G67="",K67="Mut+ext"),0,IF(VLOOKUP(G67,Paramétrage!$D$6:$F$27,3,0)=0,0,IF(J67="","saisir capacité",H67*P67*VLOOKUP(G67,Paramétrage!$D$6:$F$27,2,0))))</f>
        <v>0</v>
      </c>
      <c r="R67" s="414"/>
      <c r="S67" s="409">
        <f t="shared" si="1"/>
        <v>0</v>
      </c>
      <c r="T67" s="23">
        <f>IF(G67="",0,IF(ISERROR(R67+Q67*VLOOKUP(G67,Paramétrage!$D$6:$F$27,3,0))=TRUE,S67,R67+Q67*VLOOKUP(G67,Paramétrage!$D$6:$F$27,3,0)))</f>
        <v>0</v>
      </c>
      <c r="U67" s="417"/>
      <c r="V67" s="417"/>
      <c r="W67" s="417"/>
      <c r="X67" s="417"/>
      <c r="Y67" s="411">
        <f t="shared" si="13"/>
        <v>0</v>
      </c>
      <c r="Z67" s="443"/>
      <c r="AA67" s="444"/>
      <c r="AB67" s="445"/>
      <c r="AC67" s="22">
        <f>IF(B67="",0,IF(E67="",0,IF(SUMIF(B49:B68,B67,I49:I68)=0,0,IF(E67="Obligatoire",AD67/I67,IF(F67="",AD67/SUMIF(B49:B68,B67,I49:I68),AD67/(SUMIF(B49:B68,B67,I49:I68)/F67))))))</f>
        <v>0</v>
      </c>
      <c r="AD67" s="415">
        <f t="shared" si="17"/>
        <v>0</v>
      </c>
    </row>
    <row r="68" spans="1:30" ht="15.6" hidden="1" customHeight="1" thickBot="1">
      <c r="A68" s="477"/>
      <c r="B68" s="434"/>
      <c r="C68" s="26"/>
      <c r="D68" s="374"/>
      <c r="E68" s="24"/>
      <c r="F68" s="25"/>
      <c r="G68" s="413"/>
      <c r="H68" s="358"/>
      <c r="I68" s="417"/>
      <c r="J68" s="406"/>
      <c r="K68" s="27"/>
      <c r="L68" s="444"/>
      <c r="M68" s="444"/>
      <c r="N68" s="444"/>
      <c r="O68" s="445"/>
      <c r="P68" s="347">
        <f>IF(OR(J68="",G68=Paramétrage!$D$9,G68=Paramétrage!$D$12,G68=Paramétrage!$D$15,G68=Paramétrage!$D$18,G68=Paramétrage!$D$22,G68=Paramétrage!$D$25,AND(G68&lt;&gt;Paramétrage!$D$9,K68="Mut+ext")),0,ROUNDUP(I68/J68,0))</f>
        <v>0</v>
      </c>
      <c r="Q68" s="407">
        <f>IF(OR(G68="",K68="Mut+ext"),0,IF(VLOOKUP(G68,Paramétrage!$D$6:$F$27,3,0)=0,0,IF(J68="","saisir capacité",H68*P68*VLOOKUP(G68,Paramétrage!$D$6:$F$27,2,0))))</f>
        <v>0</v>
      </c>
      <c r="R68" s="405"/>
      <c r="S68" s="418">
        <f t="shared" si="1"/>
        <v>0</v>
      </c>
      <c r="T68" s="357">
        <f>IF(G68="",0,IF(ISERROR(R68+Q68*VLOOKUP(G68,Paramétrage!$D$6:$F$27,3,0))=TRUE,S68,R68+Q68*VLOOKUP(G68,Paramétrage!$D$6:$F$27,3,0)))</f>
        <v>0</v>
      </c>
      <c r="U68" s="417"/>
      <c r="V68" s="417"/>
      <c r="W68" s="417"/>
      <c r="X68" s="417"/>
      <c r="Y68" s="419">
        <f t="shared" si="13"/>
        <v>0</v>
      </c>
      <c r="Z68" s="443"/>
      <c r="AA68" s="444"/>
      <c r="AB68" s="445"/>
      <c r="AC68" s="22">
        <f>IF(B68="",0,IF(E68="",0,IF(SUMIF(B49:B68,B68,I49:I68)=0,0,IF(E68="Obligatoire",AD68/I68,IF(F68="",AD68/SUMIF(B49:B68,B68,I49:I68),AD68/(SUMIF(B49:B68,B68,I49:I68)/F68))))))</f>
        <v>0</v>
      </c>
      <c r="AD68" s="415">
        <f t="shared" si="17"/>
        <v>0</v>
      </c>
    </row>
    <row r="69" spans="1:30" ht="14.45" hidden="1" customHeight="1">
      <c r="A69" s="477"/>
      <c r="B69" s="421"/>
      <c r="C69" s="24"/>
      <c r="D69" s="24"/>
      <c r="E69" s="372"/>
      <c r="F69" s="25"/>
      <c r="G69" s="413"/>
      <c r="H69" s="355"/>
      <c r="I69" s="410"/>
      <c r="J69" s="435"/>
      <c r="K69" s="356"/>
      <c r="L69" s="450"/>
      <c r="M69" s="450"/>
      <c r="N69" s="450"/>
      <c r="O69" s="451"/>
      <c r="P69" s="353">
        <f>IF(OR(J69="",G69=Paramétrage!$D$9,G69=Paramétrage!$D$12,G69=Paramétrage!$D$15,G69=Paramétrage!$D$18,G69=Paramétrage!$D$22,G69=Paramétrage!$D$25,AND(G69&lt;&gt;Paramétrage!$D$9,K69="Mut+ext")),0,ROUNDUP(I69/J69,0))</f>
        <v>0</v>
      </c>
      <c r="Q69" s="407">
        <f>IF(OR(G69="",K69="Mut+ext"),0,IF(VLOOKUP(G69,Paramétrage!$D$6:$F$27,3,0)=0,0,IF(J69="","saisir capacité",H69*P69*VLOOKUP(G69,Paramétrage!$D$6:$F$27,2,0))))</f>
        <v>0</v>
      </c>
      <c r="R69" s="420"/>
      <c r="S69" s="409">
        <f t="shared" si="1"/>
        <v>0</v>
      </c>
      <c r="T69" s="23">
        <f>IF(G69="",0,IF(ISERROR(R69+Q69*VLOOKUP(G69,Paramétrage!$D$6:$F$27,3,0))=TRUE,S69,R69+Q69*VLOOKUP(G69,Paramétrage!$D$6:$F$27,3,0)))</f>
        <v>0</v>
      </c>
      <c r="U69" s="410"/>
      <c r="V69" s="410"/>
      <c r="W69" s="410"/>
      <c r="X69" s="410"/>
      <c r="Y69" s="411">
        <f>SUM(U69:X69)</f>
        <v>0</v>
      </c>
      <c r="Z69" s="449"/>
      <c r="AA69" s="450"/>
      <c r="AB69" s="451"/>
      <c r="AC69" s="40">
        <f>IF(B69="",0,IF(E69="",0,IF(SUMIF(B69:B88,B69,I69:I88)=0,0,IF(E69="Obligatoire",AD69/I69,IF(F69="",AD69/SUMIF(B69:B88,B69,I69:I88),AD69/(SUMIF(B69:B88,B69,I69:I88)/F69))))))</f>
        <v>0</v>
      </c>
      <c r="AD69" s="412">
        <f>H69*I69</f>
        <v>0</v>
      </c>
    </row>
    <row r="70" spans="1:30" hidden="1">
      <c r="A70" s="477"/>
      <c r="B70" s="421"/>
      <c r="C70" s="24"/>
      <c r="D70" s="34"/>
      <c r="E70" s="26"/>
      <c r="F70" s="25"/>
      <c r="G70" s="413"/>
      <c r="H70" s="29"/>
      <c r="I70" s="410"/>
      <c r="J70" s="406"/>
      <c r="K70" s="27"/>
      <c r="L70" s="444"/>
      <c r="M70" s="444"/>
      <c r="N70" s="444"/>
      <c r="O70" s="445"/>
      <c r="P70" s="347">
        <f>IF(OR(J70="",G70=Paramétrage!$D$9,G70=Paramétrage!$D$12,G70=Paramétrage!$D$15,G70=Paramétrage!$D$18,G70=Paramétrage!$D$22,G70=Paramétrage!$D$25,AND(G70&lt;&gt;Paramétrage!$D$9,K70="Mut+ext")),0,ROUNDUP(I70/J70,0))</f>
        <v>0</v>
      </c>
      <c r="Q70" s="407">
        <f>IF(OR(G70="",K70="Mut+ext"),0,IF(VLOOKUP(G70,Paramétrage!$D$6:$F$27,3,0)=0,0,IF(J70="","saisir capacité",H70*P70*VLOOKUP(G70,Paramétrage!$D$6:$F$27,2,0))))</f>
        <v>0</v>
      </c>
      <c r="R70" s="414"/>
      <c r="S70" s="409">
        <f t="shared" si="1"/>
        <v>0</v>
      </c>
      <c r="T70" s="23">
        <f>IF(G70="",0,IF(ISERROR(R70+Q70*VLOOKUP(G70,Paramétrage!$D$6:$F$27,3,0))=TRUE,S70,R70+Q70*VLOOKUP(G70,Paramétrage!$D$6:$F$27,3,0)))</f>
        <v>0</v>
      </c>
      <c r="U70" s="410"/>
      <c r="V70" s="410"/>
      <c r="W70" s="410"/>
      <c r="X70" s="410"/>
      <c r="Y70" s="411">
        <f t="shared" ref="Y70:Y88" si="18">SUM(U70:X70)</f>
        <v>0</v>
      </c>
      <c r="Z70" s="443"/>
      <c r="AA70" s="444"/>
      <c r="AB70" s="445"/>
      <c r="AC70" s="22">
        <f>IF(B70="",0,IF(E70="",0,IF(SUMIF(B69:B88,B70,I69:I88)=0,0,IF(E70="Obligatoire",AD70/I70,IF(F70="",AD70/SUMIF(B69:B88,B70,I69:I88),AD70/(SUMIF(B69:B88,B70,I69:I88)/F70))))))</f>
        <v>0</v>
      </c>
      <c r="AD70" s="415">
        <f>H70*I70</f>
        <v>0</v>
      </c>
    </row>
    <row r="71" spans="1:30" hidden="1">
      <c r="A71" s="477"/>
      <c r="B71" s="421"/>
      <c r="C71" s="24"/>
      <c r="D71" s="34"/>
      <c r="E71" s="26"/>
      <c r="F71" s="25"/>
      <c r="G71" s="413"/>
      <c r="H71" s="29"/>
      <c r="I71" s="410"/>
      <c r="J71" s="406"/>
      <c r="K71" s="27"/>
      <c r="L71" s="444"/>
      <c r="M71" s="444"/>
      <c r="N71" s="444"/>
      <c r="O71" s="445"/>
      <c r="P71" s="347">
        <f>IF(OR(J71="",G71=Paramétrage!$D$9,G71=Paramétrage!$D$12,G71=Paramétrage!$D$15,G71=Paramétrage!$D$18,G71=Paramétrage!$D$22,G71=Paramétrage!$D$25,AND(G71&lt;&gt;Paramétrage!$D$9,K71="Mut+ext")),0,ROUNDUP(I71/J71,0))</f>
        <v>0</v>
      </c>
      <c r="Q71" s="407">
        <f>IF(OR(G71="",K71="Mut+ext"),0,IF(VLOOKUP(G71,Paramétrage!$D$6:$F$27,3,0)=0,0,IF(J71="","saisir capacité",H71*P71*VLOOKUP(G71,Paramétrage!$D$6:$F$27,2,0))))</f>
        <v>0</v>
      </c>
      <c r="R71" s="414"/>
      <c r="S71" s="409">
        <f t="shared" ref="S71:S88" si="19">IF(OR(G71="",K71="Mut+ext"),0,IF(ISERROR(Q71+R71)=TRUE,Q71,Q71+R71))</f>
        <v>0</v>
      </c>
      <c r="T71" s="23">
        <f>IF(G71="",0,IF(ISERROR(R71+Q71*VLOOKUP(G71,Paramétrage!$D$6:$F$27,3,0))=TRUE,S71,R71+Q71*VLOOKUP(G71,Paramétrage!$D$6:$F$27,3,0)))</f>
        <v>0</v>
      </c>
      <c r="U71" s="410"/>
      <c r="V71" s="410"/>
      <c r="W71" s="410"/>
      <c r="X71" s="410"/>
      <c r="Y71" s="411">
        <f t="shared" si="18"/>
        <v>0</v>
      </c>
      <c r="Z71" s="443"/>
      <c r="AA71" s="444"/>
      <c r="AB71" s="445"/>
      <c r="AC71" s="22">
        <f>IF(B71="",0,IF(E71="",0,IF(SUMIF(B69:B88,B71,I69:I88)=0,0,IF(E71="Obligatoire",AD71/I71,IF(F71="",AD71/SUMIF(B69:B88,B71,I69:I88),AD71/(SUMIF(B69:B88,B71,I69:I88)/F71))))))</f>
        <v>0</v>
      </c>
      <c r="AD71" s="415">
        <f>H71*I71</f>
        <v>0</v>
      </c>
    </row>
    <row r="72" spans="1:30" hidden="1">
      <c r="A72" s="477"/>
      <c r="B72" s="421"/>
      <c r="C72" s="24"/>
      <c r="D72" s="376"/>
      <c r="E72" s="375"/>
      <c r="F72" s="25"/>
      <c r="G72" s="413"/>
      <c r="H72" s="29"/>
      <c r="I72" s="410"/>
      <c r="J72" s="406"/>
      <c r="K72" s="27"/>
      <c r="L72" s="444"/>
      <c r="M72" s="444"/>
      <c r="N72" s="444"/>
      <c r="O72" s="445"/>
      <c r="P72" s="347">
        <f>IF(OR(J72="",G72=Paramétrage!$D$9,G72=Paramétrage!$D$12,G72=Paramétrage!$D$15,G72=Paramétrage!$D$18,G72=Paramétrage!$D$22,G72=Paramétrage!$D$25,AND(G72&lt;&gt;Paramétrage!$D$9,K72="Mut+ext")),0,ROUNDUP(I72/J72,0))</f>
        <v>0</v>
      </c>
      <c r="Q72" s="407">
        <f>IF(OR(G72="",K72="Mut+ext"),0,IF(VLOOKUP(G72,Paramétrage!$D$6:$F$27,3,0)=0,0,IF(J72="","saisir capacité",H72*P72*VLOOKUP(G72,Paramétrage!$D$6:$F$27,2,0))))</f>
        <v>0</v>
      </c>
      <c r="R72" s="414"/>
      <c r="S72" s="409">
        <f t="shared" si="19"/>
        <v>0</v>
      </c>
      <c r="T72" s="23">
        <f>IF(G72="",0,IF(ISERROR(R72+Q72*VLOOKUP(G72,Paramétrage!$D$6:$F$27,3,0))=TRUE,S72,R72+Q72*VLOOKUP(G72,Paramétrage!$D$6:$F$27,3,0)))</f>
        <v>0</v>
      </c>
      <c r="U72" s="410"/>
      <c r="V72" s="410"/>
      <c r="W72" s="410"/>
      <c r="X72" s="410"/>
      <c r="Y72" s="411">
        <f t="shared" si="18"/>
        <v>0</v>
      </c>
      <c r="Z72" s="443"/>
      <c r="AA72" s="444"/>
      <c r="AB72" s="445"/>
      <c r="AC72" s="22">
        <f t="shared" ref="AC72" si="20">IF(B72="",0,IF(E72="",0,IF(SUMIF(B70:B89,B72,I70:I89)=0,0,IF(E72="Obligatoire",AD72/I72,IF(F72="",AD72/SUMIF(B70:B89,B72,I70:I89),AD72/(SUMIF(B70:B89,B72,I70:I89)/F72))))))</f>
        <v>0</v>
      </c>
      <c r="AD72" s="415">
        <f t="shared" ref="AD72:AD84" si="21">H72*I72</f>
        <v>0</v>
      </c>
    </row>
    <row r="73" spans="1:30" hidden="1">
      <c r="A73" s="477"/>
      <c r="B73" s="421"/>
      <c r="C73" s="24"/>
      <c r="D73" s="376"/>
      <c r="E73" s="34"/>
      <c r="F73" s="25"/>
      <c r="G73" s="413"/>
      <c r="H73" s="29"/>
      <c r="I73" s="410"/>
      <c r="J73" s="406"/>
      <c r="K73" s="27"/>
      <c r="L73" s="444"/>
      <c r="M73" s="444"/>
      <c r="N73" s="444"/>
      <c r="O73" s="445"/>
      <c r="P73" s="347">
        <f>IF(OR(J73="",G73=Paramétrage!$D$9,G73=Paramétrage!$D$12,G73=Paramétrage!$D$15,G73=Paramétrage!$D$18,G73=Paramétrage!$D$22,G73=Paramétrage!$D$25,AND(G73&lt;&gt;Paramétrage!$D$9,K73="Mut+ext")),0,ROUNDUP(I73/J73,0))</f>
        <v>0</v>
      </c>
      <c r="Q73" s="407">
        <f>IF(OR(G73="",K73="Mut+ext"),0,IF(VLOOKUP(G73,Paramétrage!$D$6:$F$27,3,0)=0,0,IF(J73="","saisir capacité",H73*P73*VLOOKUP(G73,Paramétrage!$D$6:$F$27,2,0))))</f>
        <v>0</v>
      </c>
      <c r="R73" s="414"/>
      <c r="S73" s="409">
        <f t="shared" si="19"/>
        <v>0</v>
      </c>
      <c r="T73" s="23">
        <f>IF(G73="",0,IF(ISERROR(R73+Q73*VLOOKUP(G73,Paramétrage!$D$6:$F$27,3,0))=TRUE,S73,R73+Q73*VLOOKUP(G73,Paramétrage!$D$6:$F$27,3,0)))</f>
        <v>0</v>
      </c>
      <c r="U73" s="410"/>
      <c r="V73" s="410"/>
      <c r="W73" s="410"/>
      <c r="X73" s="410"/>
      <c r="Y73" s="411">
        <f t="shared" si="18"/>
        <v>0</v>
      </c>
      <c r="Z73" s="443"/>
      <c r="AA73" s="444"/>
      <c r="AB73" s="445"/>
      <c r="AC73" s="22">
        <f>IF(B73="",0,IF(E73="",0,IF(SUMIF(B71:B89,B73,I71:I89)=0,0,IF(E73="Obligatoire",AD73/I73,IF(F73="",AD73/SUMIF(B71:B89,B73,I71:I89),AD73/(SUMIF(B71:B89,B73,I71:I89)/F73))))))</f>
        <v>0</v>
      </c>
      <c r="AD73" s="415">
        <f t="shared" si="21"/>
        <v>0</v>
      </c>
    </row>
    <row r="74" spans="1:30" hidden="1">
      <c r="A74" s="477"/>
      <c r="B74" s="421"/>
      <c r="C74" s="24"/>
      <c r="D74" s="376"/>
      <c r="E74" s="34"/>
      <c r="F74" s="25"/>
      <c r="G74" s="413"/>
      <c r="H74" s="29"/>
      <c r="I74" s="410"/>
      <c r="J74" s="406"/>
      <c r="K74" s="27"/>
      <c r="L74" s="444"/>
      <c r="M74" s="444"/>
      <c r="N74" s="444"/>
      <c r="O74" s="445"/>
      <c r="P74" s="347">
        <f>IF(OR(J74="",G74=Paramétrage!$D$9,G74=Paramétrage!$D$12,G74=Paramétrage!$D$15,G74=Paramétrage!$D$18,G74=Paramétrage!$D$22,G74=Paramétrage!$D$25,AND(G74&lt;&gt;Paramétrage!$D$9,K74="Mut+ext")),0,ROUNDUP(I74/J74,0))</f>
        <v>0</v>
      </c>
      <c r="Q74" s="407">
        <f>IF(OR(G74="",K74="Mut+ext"),0,IF(VLOOKUP(G74,Paramétrage!$D$6:$F$27,3,0)=0,0,IF(J74="","saisir capacité",H74*P74*VLOOKUP(G74,Paramétrage!$D$6:$F$27,2,0))))</f>
        <v>0</v>
      </c>
      <c r="R74" s="414"/>
      <c r="S74" s="409">
        <f t="shared" si="19"/>
        <v>0</v>
      </c>
      <c r="T74" s="23">
        <f>IF(G74="",0,IF(ISERROR(R74+Q74*VLOOKUP(G74,Paramétrage!$D$6:$F$27,3,0))=TRUE,S74,R74+Q74*VLOOKUP(G74,Paramétrage!$D$6:$F$27,3,0)))</f>
        <v>0</v>
      </c>
      <c r="U74" s="410"/>
      <c r="V74" s="410"/>
      <c r="W74" s="410"/>
      <c r="X74" s="410"/>
      <c r="Y74" s="411">
        <f t="shared" si="18"/>
        <v>0</v>
      </c>
      <c r="Z74" s="443"/>
      <c r="AA74" s="444"/>
      <c r="AB74" s="445"/>
      <c r="AC74" s="22">
        <f>IF(B74="",0,IF(E74="",0,IF(SUMIF(B72:B89,B74,I72:I89)=0,0,IF(E74="Obligatoire",AD74/I74,IF(F74="",AD74/SUMIF(B72:B89,B74,I72:I89),AD74/(SUMIF(B72:B89,B74,I72:I89)/F74))))))</f>
        <v>0</v>
      </c>
      <c r="AD74" s="415">
        <f t="shared" si="21"/>
        <v>0</v>
      </c>
    </row>
    <row r="75" spans="1:30" hidden="1">
      <c r="A75" s="477"/>
      <c r="B75" s="421"/>
      <c r="C75" s="24"/>
      <c r="D75" s="376"/>
      <c r="E75" s="34"/>
      <c r="F75" s="25"/>
      <c r="G75" s="413"/>
      <c r="H75" s="29"/>
      <c r="I75" s="410"/>
      <c r="J75" s="406"/>
      <c r="K75" s="27"/>
      <c r="L75" s="444"/>
      <c r="M75" s="444"/>
      <c r="N75" s="444"/>
      <c r="O75" s="445"/>
      <c r="P75" s="347">
        <f>IF(OR(J75="",G75=Paramétrage!$D$9,G75=Paramétrage!$D$12,G75=Paramétrage!$D$15,G75=Paramétrage!$D$18,G75=Paramétrage!$D$22,G75=Paramétrage!$D$25,AND(G75&lt;&gt;Paramétrage!$D$9,K75="Mut+ext")),0,ROUNDUP(I75/J75,0))</f>
        <v>0</v>
      </c>
      <c r="Q75" s="407">
        <f>IF(OR(G75="",K75="Mut+ext"),0,IF(VLOOKUP(G75,Paramétrage!$D$6:$F$27,3,0)=0,0,IF(J75="","saisir capacité",H75*P75*VLOOKUP(G75,Paramétrage!$D$6:$F$27,2,0))))</f>
        <v>0</v>
      </c>
      <c r="R75" s="414"/>
      <c r="S75" s="409">
        <f t="shared" si="19"/>
        <v>0</v>
      </c>
      <c r="T75" s="23">
        <f>IF(G75="",0,IF(ISERROR(R75+Q75*VLOOKUP(G75,Paramétrage!$D$6:$F$27,3,0))=TRUE,S75,R75+Q75*VLOOKUP(G75,Paramétrage!$D$6:$F$27,3,0)))</f>
        <v>0</v>
      </c>
      <c r="U75" s="410"/>
      <c r="V75" s="410"/>
      <c r="W75" s="410"/>
      <c r="X75" s="410"/>
      <c r="Y75" s="411">
        <f t="shared" si="18"/>
        <v>0</v>
      </c>
      <c r="Z75" s="443"/>
      <c r="AA75" s="444"/>
      <c r="AB75" s="445"/>
      <c r="AC75" s="22">
        <f>IF(B75="",0,IF(E75="",0,IF(SUMIF(B73:B89,B75,I73:I89)=0,0,IF(E75="Obligatoire",AD75/I75,IF(F75="",AD75/SUMIF(B73:B89,B75,I73:I89),AD75/(SUMIF(B73:B89,B75,I73:I89)/F75))))))</f>
        <v>0</v>
      </c>
      <c r="AD75" s="415">
        <f t="shared" si="21"/>
        <v>0</v>
      </c>
    </row>
    <row r="76" spans="1:30" hidden="1">
      <c r="A76" s="477"/>
      <c r="B76" s="421"/>
      <c r="C76" s="24"/>
      <c r="D76" s="376"/>
      <c r="E76" s="34"/>
      <c r="F76" s="25"/>
      <c r="G76" s="413"/>
      <c r="H76" s="29"/>
      <c r="I76" s="410"/>
      <c r="J76" s="406"/>
      <c r="K76" s="27"/>
      <c r="L76" s="444"/>
      <c r="M76" s="444"/>
      <c r="N76" s="444"/>
      <c r="O76" s="445"/>
      <c r="P76" s="347">
        <f>IF(OR(J76="",G76=Paramétrage!$D$9,G76=Paramétrage!$D$12,G76=Paramétrage!$D$15,G76=Paramétrage!$D$18,G76=Paramétrage!$D$22,G76=Paramétrage!$D$25,AND(G76&lt;&gt;Paramétrage!$D$9,K76="Mut+ext")),0,ROUNDUP(I76/J76,0))</f>
        <v>0</v>
      </c>
      <c r="Q76" s="407">
        <f>IF(OR(G76="",K76="Mut+ext"),0,IF(VLOOKUP(G76,Paramétrage!$D$6:$F$27,3,0)=0,0,IF(J76="","saisir capacité",H76*P76*VLOOKUP(G76,Paramétrage!$D$6:$F$27,2,0))))</f>
        <v>0</v>
      </c>
      <c r="R76" s="414"/>
      <c r="S76" s="409">
        <f t="shared" si="19"/>
        <v>0</v>
      </c>
      <c r="T76" s="23">
        <f>IF(G76="",0,IF(ISERROR(R76+Q76*VLOOKUP(G76,Paramétrage!$D$6:$F$27,3,0))=TRUE,S76,R76+Q76*VLOOKUP(G76,Paramétrage!$D$6:$F$27,3,0)))</f>
        <v>0</v>
      </c>
      <c r="U76" s="410"/>
      <c r="V76" s="410"/>
      <c r="W76" s="410"/>
      <c r="X76" s="410"/>
      <c r="Y76" s="411">
        <f t="shared" si="18"/>
        <v>0</v>
      </c>
      <c r="Z76" s="443"/>
      <c r="AA76" s="444"/>
      <c r="AB76" s="445"/>
      <c r="AC76" s="22">
        <f>IF(B76="",0,IF(E76="",0,IF(SUMIF(B74:B89,B76,I74:I89)=0,0,IF(E76="Obligatoire",AD76/I76,IF(F76="",AD76/SUMIF(B74:B89,B76,I74:I89),AD76/(SUMIF(B74:B89,B76,I74:I89)/F76))))))</f>
        <v>0</v>
      </c>
      <c r="AD76" s="415">
        <f t="shared" si="21"/>
        <v>0</v>
      </c>
    </row>
    <row r="77" spans="1:30" hidden="1">
      <c r="A77" s="477"/>
      <c r="B77" s="421"/>
      <c r="C77" s="24"/>
      <c r="D77" s="376"/>
      <c r="E77" s="34"/>
      <c r="F77" s="25"/>
      <c r="G77" s="413"/>
      <c r="H77" s="29"/>
      <c r="I77" s="410"/>
      <c r="J77" s="406"/>
      <c r="K77" s="27"/>
      <c r="L77" s="444"/>
      <c r="M77" s="444"/>
      <c r="N77" s="444"/>
      <c r="O77" s="445"/>
      <c r="P77" s="347">
        <f>IF(OR(J77="",G77=Paramétrage!$D$9,G77=Paramétrage!$D$12,G77=Paramétrage!$D$15,G77=Paramétrage!$D$18,G77=Paramétrage!$D$22,G77=Paramétrage!$D$25,AND(G77&lt;&gt;Paramétrage!$D$9,K77="Mut+ext")),0,ROUNDUP(I77/J77,0))</f>
        <v>0</v>
      </c>
      <c r="Q77" s="407">
        <f>IF(OR(G77="",K77="Mut+ext"),0,IF(VLOOKUP(G77,Paramétrage!$D$6:$F$27,3,0)=0,0,IF(J77="","saisir capacité",H77*P77*VLOOKUP(G77,Paramétrage!$D$6:$F$27,2,0))))</f>
        <v>0</v>
      </c>
      <c r="R77" s="414"/>
      <c r="S77" s="409">
        <f t="shared" si="19"/>
        <v>0</v>
      </c>
      <c r="T77" s="23">
        <f>IF(G77="",0,IF(ISERROR(R77+Q77*VLOOKUP(G77,Paramétrage!$D$6:$F$27,3,0))=TRUE,S77,R77+Q77*VLOOKUP(G77,Paramétrage!$D$6:$F$27,3,0)))</f>
        <v>0</v>
      </c>
      <c r="U77" s="410"/>
      <c r="V77" s="410"/>
      <c r="W77" s="410"/>
      <c r="X77" s="410"/>
      <c r="Y77" s="411">
        <f t="shared" si="18"/>
        <v>0</v>
      </c>
      <c r="Z77" s="443"/>
      <c r="AA77" s="444"/>
      <c r="AB77" s="445"/>
      <c r="AC77" s="22">
        <f>IF(B77="",0,IF(E77="",0,IF(SUMIF(B75:B89,B77,I75:I89)=0,0,IF(E77="Obligatoire",AD77/I77,IF(F77="",AD77/SUMIF(B75:B89,B77,I75:I89),AD77/(SUMIF(B75:B89,B77,I75:I89)/F77))))))</f>
        <v>0</v>
      </c>
      <c r="AD77" s="415">
        <f t="shared" si="21"/>
        <v>0</v>
      </c>
    </row>
    <row r="78" spans="1:30" hidden="1">
      <c r="A78" s="477"/>
      <c r="B78" s="421"/>
      <c r="C78" s="24"/>
      <c r="D78" s="376"/>
      <c r="E78" s="34"/>
      <c r="F78" s="25"/>
      <c r="G78" s="413"/>
      <c r="H78" s="29"/>
      <c r="I78" s="410"/>
      <c r="J78" s="406"/>
      <c r="K78" s="27"/>
      <c r="L78" s="444"/>
      <c r="M78" s="444"/>
      <c r="N78" s="444"/>
      <c r="O78" s="445"/>
      <c r="P78" s="347">
        <f>IF(OR(J78="",G78=Paramétrage!$D$9,G78=Paramétrage!$D$12,G78=Paramétrage!$D$15,G78=Paramétrage!$D$18,G78=Paramétrage!$D$22,G78=Paramétrage!$D$25,AND(G78&lt;&gt;Paramétrage!$D$9,K78="Mut+ext")),0,ROUNDUP(I78/J78,0))</f>
        <v>0</v>
      </c>
      <c r="Q78" s="407">
        <f>IF(OR(G78="",K78="Mut+ext"),0,IF(VLOOKUP(G78,Paramétrage!$D$6:$F$27,3,0)=0,0,IF(J78="","saisir capacité",H78*P78*VLOOKUP(G78,Paramétrage!$D$6:$F$27,2,0))))</f>
        <v>0</v>
      </c>
      <c r="R78" s="414"/>
      <c r="S78" s="409">
        <f t="shared" si="19"/>
        <v>0</v>
      </c>
      <c r="T78" s="23">
        <f>IF(G78="",0,IF(ISERROR(R78+Q78*VLOOKUP(G78,Paramétrage!$D$6:$F$27,3,0))=TRUE,S78,R78+Q78*VLOOKUP(G78,Paramétrage!$D$6:$F$27,3,0)))</f>
        <v>0</v>
      </c>
      <c r="U78" s="410"/>
      <c r="V78" s="410"/>
      <c r="W78" s="410"/>
      <c r="X78" s="410"/>
      <c r="Y78" s="411">
        <f t="shared" si="18"/>
        <v>0</v>
      </c>
      <c r="Z78" s="443"/>
      <c r="AA78" s="444"/>
      <c r="AB78" s="445"/>
      <c r="AC78" s="22">
        <f>IF(B78="",0,IF(E78="",0,IF(SUMIF(B76:B89,B78,I76:I89)=0,0,IF(E78="Obligatoire",AD78/I78,IF(F78="",AD78/SUMIF(B76:B89,B78,I76:I89),AD78/(SUMIF(B76:B89,B78,I76:I89)/F78))))))</f>
        <v>0</v>
      </c>
      <c r="AD78" s="415">
        <f t="shared" si="21"/>
        <v>0</v>
      </c>
    </row>
    <row r="79" spans="1:30" hidden="1">
      <c r="A79" s="477"/>
      <c r="B79" s="421"/>
      <c r="C79" s="24"/>
      <c r="D79" s="376"/>
      <c r="E79" s="34"/>
      <c r="F79" s="25"/>
      <c r="G79" s="413"/>
      <c r="H79" s="29"/>
      <c r="I79" s="410"/>
      <c r="J79" s="406"/>
      <c r="K79" s="27"/>
      <c r="L79" s="444"/>
      <c r="M79" s="444"/>
      <c r="N79" s="444"/>
      <c r="O79" s="445"/>
      <c r="P79" s="347">
        <f>IF(OR(J79="",G79=Paramétrage!$D$9,G79=Paramétrage!$D$12,G79=Paramétrage!$D$15,G79=Paramétrage!$D$18,G79=Paramétrage!$D$22,G79=Paramétrage!$D$25,AND(G79&lt;&gt;Paramétrage!$D$9,K79="Mut+ext")),0,ROUNDUP(I79/J79,0))</f>
        <v>0</v>
      </c>
      <c r="Q79" s="407">
        <f>IF(OR(G79="",K79="Mut+ext"),0,IF(VLOOKUP(G79,Paramétrage!$D$6:$F$27,3,0)=0,0,IF(J79="","saisir capacité",H79*P79*VLOOKUP(G79,Paramétrage!$D$6:$F$27,2,0))))</f>
        <v>0</v>
      </c>
      <c r="R79" s="414"/>
      <c r="S79" s="409">
        <f t="shared" si="19"/>
        <v>0</v>
      </c>
      <c r="T79" s="23">
        <f>IF(G79="",0,IF(ISERROR(R79+Q79*VLOOKUP(G79,Paramétrage!$D$6:$F$27,3,0))=TRUE,S79,R79+Q79*VLOOKUP(G79,Paramétrage!$D$6:$F$27,3,0)))</f>
        <v>0</v>
      </c>
      <c r="U79" s="410"/>
      <c r="V79" s="410"/>
      <c r="W79" s="410"/>
      <c r="X79" s="410"/>
      <c r="Y79" s="411">
        <f t="shared" si="18"/>
        <v>0</v>
      </c>
      <c r="Z79" s="443"/>
      <c r="AA79" s="444"/>
      <c r="AB79" s="445"/>
      <c r="AC79" s="22">
        <f>IF(B79="",0,IF(E79="",0,IF(SUMIF(B77:B89,B79,I77:I89)=0,0,IF(E79="Obligatoire",AD79/I79,IF(F79="",AD79/SUMIF(B77:B89,B79,I77:I89),AD79/(SUMIF(B77:B89,B79,I77:I89)/F79))))))</f>
        <v>0</v>
      </c>
      <c r="AD79" s="415">
        <f t="shared" si="21"/>
        <v>0</v>
      </c>
    </row>
    <row r="80" spans="1:30" hidden="1">
      <c r="A80" s="477"/>
      <c r="B80" s="421"/>
      <c r="C80" s="24"/>
      <c r="D80" s="376"/>
      <c r="E80" s="34"/>
      <c r="F80" s="25"/>
      <c r="G80" s="413"/>
      <c r="H80" s="29"/>
      <c r="I80" s="410"/>
      <c r="J80" s="406"/>
      <c r="K80" s="27"/>
      <c r="L80" s="444"/>
      <c r="M80" s="444"/>
      <c r="N80" s="444"/>
      <c r="O80" s="445"/>
      <c r="P80" s="347">
        <f>IF(OR(J80="",G80=Paramétrage!$D$9,G80=Paramétrage!$D$12,G80=Paramétrage!$D$15,G80=Paramétrage!$D$18,G80=Paramétrage!$D$22,G80=Paramétrage!$D$25,AND(G80&lt;&gt;Paramétrage!$D$9,K80="Mut+ext")),0,ROUNDUP(I80/J80,0))</f>
        <v>0</v>
      </c>
      <c r="Q80" s="407">
        <f>IF(OR(G80="",K80="Mut+ext"),0,IF(VLOOKUP(G80,Paramétrage!$D$6:$F$27,3,0)=0,0,IF(J80="","saisir capacité",H80*P80*VLOOKUP(G80,Paramétrage!$D$6:$F$27,2,0))))</f>
        <v>0</v>
      </c>
      <c r="R80" s="414"/>
      <c r="S80" s="409">
        <f t="shared" si="19"/>
        <v>0</v>
      </c>
      <c r="T80" s="23">
        <f>IF(G80="",0,IF(ISERROR(R80+Q80*VLOOKUP(G80,Paramétrage!$D$6:$F$27,3,0))=TRUE,S80,R80+Q80*VLOOKUP(G80,Paramétrage!$D$6:$F$27,3,0)))</f>
        <v>0</v>
      </c>
      <c r="U80" s="410"/>
      <c r="V80" s="410"/>
      <c r="W80" s="410"/>
      <c r="X80" s="410"/>
      <c r="Y80" s="411">
        <f t="shared" si="18"/>
        <v>0</v>
      </c>
      <c r="Z80" s="443"/>
      <c r="AA80" s="444"/>
      <c r="AB80" s="445"/>
      <c r="AC80" s="22">
        <f>IF(B80="",0,IF(E80="",0,IF(SUMIF(B78:B89,B80,I78:I89)=0,0,IF(E80="Obligatoire",AD80/I80,IF(F80="",AD80/SUMIF(B78:B89,B80,I78:I89),AD80/(SUMIF(B78:B89,B80,I78:I89)/F80))))))</f>
        <v>0</v>
      </c>
      <c r="AD80" s="415">
        <f t="shared" si="21"/>
        <v>0</v>
      </c>
    </row>
    <row r="81" spans="1:30" hidden="1">
      <c r="A81" s="477"/>
      <c r="B81" s="421"/>
      <c r="C81" s="24"/>
      <c r="D81" s="376"/>
      <c r="E81" s="34"/>
      <c r="F81" s="25"/>
      <c r="G81" s="413"/>
      <c r="H81" s="29"/>
      <c r="I81" s="410"/>
      <c r="J81" s="406"/>
      <c r="K81" s="27"/>
      <c r="L81" s="444"/>
      <c r="M81" s="444"/>
      <c r="N81" s="444"/>
      <c r="O81" s="445"/>
      <c r="P81" s="347">
        <f>IF(OR(J81="",G81=Paramétrage!$D$9,G81=Paramétrage!$D$12,G81=Paramétrage!$D$15,G81=Paramétrage!$D$18,G81=Paramétrage!$D$22,G81=Paramétrage!$D$25,AND(G81&lt;&gt;Paramétrage!$D$9,K81="Mut+ext")),0,ROUNDUP(I81/J81,0))</f>
        <v>0</v>
      </c>
      <c r="Q81" s="407">
        <f>IF(OR(G81="",K81="Mut+ext"),0,IF(VLOOKUP(G81,Paramétrage!$D$6:$F$27,3,0)=0,0,IF(J81="","saisir capacité",H81*P81*VLOOKUP(G81,Paramétrage!$D$6:$F$27,2,0))))</f>
        <v>0</v>
      </c>
      <c r="R81" s="414"/>
      <c r="S81" s="409">
        <f t="shared" si="19"/>
        <v>0</v>
      </c>
      <c r="T81" s="23">
        <f>IF(G81="",0,IF(ISERROR(R81+Q81*VLOOKUP(G81,Paramétrage!$D$6:$F$27,3,0))=TRUE,S81,R81+Q81*VLOOKUP(G81,Paramétrage!$D$6:$F$27,3,0)))</f>
        <v>0</v>
      </c>
      <c r="U81" s="410"/>
      <c r="V81" s="410"/>
      <c r="W81" s="410"/>
      <c r="X81" s="410"/>
      <c r="Y81" s="411">
        <f t="shared" si="18"/>
        <v>0</v>
      </c>
      <c r="Z81" s="443"/>
      <c r="AA81" s="444"/>
      <c r="AB81" s="445"/>
      <c r="AC81" s="22">
        <f>IF(B81="",0,IF(E81="",0,IF(SUMIF(B79:B89,B81,I79:I89)=0,0,IF(E81="Obligatoire",AD81/I81,IF(F81="",AD81/SUMIF(B79:B89,B81,I79:I89),AD81/(SUMIF(B79:B89,B81,I79:I89)/F81))))))</f>
        <v>0</v>
      </c>
      <c r="AD81" s="415">
        <f t="shared" si="21"/>
        <v>0</v>
      </c>
    </row>
    <row r="82" spans="1:30" hidden="1">
      <c r="A82" s="477"/>
      <c r="B82" s="421"/>
      <c r="C82" s="24"/>
      <c r="D82" s="376"/>
      <c r="E82" s="34"/>
      <c r="F82" s="25"/>
      <c r="G82" s="413"/>
      <c r="H82" s="29"/>
      <c r="I82" s="410"/>
      <c r="J82" s="406"/>
      <c r="K82" s="27"/>
      <c r="L82" s="444"/>
      <c r="M82" s="444"/>
      <c r="N82" s="444"/>
      <c r="O82" s="445"/>
      <c r="P82" s="347">
        <f>IF(OR(J82="",G82=Paramétrage!$D$9,G82=Paramétrage!$D$12,G82=Paramétrage!$D$15,G82=Paramétrage!$D$18,G82=Paramétrage!$D$22,G82=Paramétrage!$D$25,AND(G82&lt;&gt;Paramétrage!$D$9,K82="Mut+ext")),0,ROUNDUP(I82/J82,0))</f>
        <v>0</v>
      </c>
      <c r="Q82" s="407">
        <f>IF(OR(G82="",K82="Mut+ext"),0,IF(VLOOKUP(G82,Paramétrage!$D$6:$F$27,3,0)=0,0,IF(J82="","saisir capacité",H82*P82*VLOOKUP(G82,Paramétrage!$D$6:$F$27,2,0))))</f>
        <v>0</v>
      </c>
      <c r="R82" s="414"/>
      <c r="S82" s="409">
        <f t="shared" si="19"/>
        <v>0</v>
      </c>
      <c r="T82" s="23">
        <f>IF(G82="",0,IF(ISERROR(R82+Q82*VLOOKUP(G82,Paramétrage!$D$6:$F$27,3,0))=TRUE,S82,R82+Q82*VLOOKUP(G82,Paramétrage!$D$6:$F$27,3,0)))</f>
        <v>0</v>
      </c>
      <c r="U82" s="410"/>
      <c r="V82" s="410"/>
      <c r="W82" s="410"/>
      <c r="X82" s="410"/>
      <c r="Y82" s="411">
        <f t="shared" si="18"/>
        <v>0</v>
      </c>
      <c r="Z82" s="443"/>
      <c r="AA82" s="444"/>
      <c r="AB82" s="445"/>
      <c r="AC82" s="22">
        <f>IF(B82="",0,IF(E82="",0,IF(SUMIF(B80:B89,B82,I80:I89)=0,0,IF(E82="Obligatoire",AD82/I82,IF(F82="",AD82/SUMIF(B80:B89,B82,I80:I89),AD82/(SUMIF(B80:B89,B82,I80:I89)/F82))))))</f>
        <v>0</v>
      </c>
      <c r="AD82" s="415">
        <f t="shared" si="21"/>
        <v>0</v>
      </c>
    </row>
    <row r="83" spans="1:30" hidden="1">
      <c r="A83" s="477"/>
      <c r="B83" s="421"/>
      <c r="C83" s="24"/>
      <c r="D83" s="376"/>
      <c r="E83" s="34"/>
      <c r="F83" s="25"/>
      <c r="G83" s="413"/>
      <c r="H83" s="29"/>
      <c r="I83" s="410"/>
      <c r="J83" s="406"/>
      <c r="K83" s="27"/>
      <c r="L83" s="444"/>
      <c r="M83" s="444"/>
      <c r="N83" s="444"/>
      <c r="O83" s="445"/>
      <c r="P83" s="347">
        <f>IF(OR(J83="",G83=Paramétrage!$D$9,G83=Paramétrage!$D$12,G83=Paramétrage!$D$15,G83=Paramétrage!$D$18,G83=Paramétrage!$D$22,G83=Paramétrage!$D$25,AND(G83&lt;&gt;Paramétrage!$D$9,K83="Mut+ext")),0,ROUNDUP(I83/J83,0))</f>
        <v>0</v>
      </c>
      <c r="Q83" s="407">
        <f>IF(OR(G83="",K83="Mut+ext"),0,IF(VLOOKUP(G83,Paramétrage!$D$6:$F$27,3,0)=0,0,IF(J83="","saisir capacité",H83*P83*VLOOKUP(G83,Paramétrage!$D$6:$F$27,2,0))))</f>
        <v>0</v>
      </c>
      <c r="R83" s="414"/>
      <c r="S83" s="409">
        <f t="shared" si="19"/>
        <v>0</v>
      </c>
      <c r="T83" s="23">
        <f>IF(G83="",0,IF(ISERROR(R83+Q83*VLOOKUP(G83,Paramétrage!$D$6:$F$27,3,0))=TRUE,S83,R83+Q83*VLOOKUP(G83,Paramétrage!$D$6:$F$27,3,0)))</f>
        <v>0</v>
      </c>
      <c r="U83" s="410"/>
      <c r="V83" s="410"/>
      <c r="W83" s="410"/>
      <c r="X83" s="410"/>
      <c r="Y83" s="411">
        <f t="shared" si="18"/>
        <v>0</v>
      </c>
      <c r="Z83" s="443"/>
      <c r="AA83" s="444"/>
      <c r="AB83" s="445"/>
      <c r="AC83" s="22">
        <f>IF(B83="",0,IF(E83="",0,IF(SUMIF(B81:B89,B83,I81:I89)=0,0,IF(E83="Obligatoire",AD83/I83,IF(F83="",AD83/SUMIF(B81:B89,B83,I81:I89),AD83/(SUMIF(B81:B89,B83,I81:I89)/F83))))))</f>
        <v>0</v>
      </c>
      <c r="AD83" s="415">
        <f t="shared" si="21"/>
        <v>0</v>
      </c>
    </row>
    <row r="84" spans="1:30" hidden="1">
      <c r="A84" s="477"/>
      <c r="B84" s="421"/>
      <c r="C84" s="24"/>
      <c r="D84" s="376"/>
      <c r="E84" s="34"/>
      <c r="F84" s="25"/>
      <c r="G84" s="413"/>
      <c r="H84" s="29"/>
      <c r="I84" s="410"/>
      <c r="J84" s="406"/>
      <c r="K84" s="27"/>
      <c r="L84" s="444"/>
      <c r="M84" s="444"/>
      <c r="N84" s="444"/>
      <c r="O84" s="445"/>
      <c r="P84" s="347">
        <f>IF(OR(J84="",G84=Paramétrage!$D$9,G84=Paramétrage!$D$12,G84=Paramétrage!$D$15,G84=Paramétrage!$D$18,G84=Paramétrage!$D$22,G84=Paramétrage!$D$25,AND(G84&lt;&gt;Paramétrage!$D$9,K84="Mut+ext")),0,ROUNDUP(I84/J84,0))</f>
        <v>0</v>
      </c>
      <c r="Q84" s="407">
        <f>IF(OR(G84="",K84="Mut+ext"),0,IF(VLOOKUP(G84,Paramétrage!$D$6:$F$27,3,0)=0,0,IF(J84="","saisir capacité",H84*P84*VLOOKUP(G84,Paramétrage!$D$6:$F$27,2,0))))</f>
        <v>0</v>
      </c>
      <c r="R84" s="414"/>
      <c r="S84" s="409">
        <f t="shared" si="19"/>
        <v>0</v>
      </c>
      <c r="T84" s="23">
        <f>IF(G84="",0,IF(ISERROR(R84+Q84*VLOOKUP(G84,Paramétrage!$D$6:$F$27,3,0))=TRUE,S84,R84+Q84*VLOOKUP(G84,Paramétrage!$D$6:$F$27,3,0)))</f>
        <v>0</v>
      </c>
      <c r="U84" s="410"/>
      <c r="V84" s="410"/>
      <c r="W84" s="410"/>
      <c r="X84" s="410"/>
      <c r="Y84" s="411">
        <f t="shared" si="18"/>
        <v>0</v>
      </c>
      <c r="Z84" s="443"/>
      <c r="AA84" s="444"/>
      <c r="AB84" s="445"/>
      <c r="AC84" s="22">
        <f>IF(B84="",0,IF(E84="",0,IF(SUMIF(B82:B89,B84,I82:I89)=0,0,IF(E84="Obligatoire",AD84/I84,IF(F84="",AD84/SUMIF(B82:B89,B84,I82:I89),AD84/(SUMIF(B82:B89,B84,I82:I89)/F84))))))</f>
        <v>0</v>
      </c>
      <c r="AD84" s="415">
        <f t="shared" si="21"/>
        <v>0</v>
      </c>
    </row>
    <row r="85" spans="1:30" hidden="1">
      <c r="A85" s="477"/>
      <c r="B85" s="421"/>
      <c r="C85" s="24"/>
      <c r="D85" s="376"/>
      <c r="E85" s="34"/>
      <c r="F85" s="25"/>
      <c r="G85" s="413"/>
      <c r="H85" s="29"/>
      <c r="I85" s="410"/>
      <c r="J85" s="406"/>
      <c r="K85" s="27"/>
      <c r="L85" s="444"/>
      <c r="M85" s="444"/>
      <c r="N85" s="444"/>
      <c r="O85" s="445"/>
      <c r="P85" s="347">
        <f>IF(OR(J85="",G85=Paramétrage!$D$9,G85=Paramétrage!$D$12,G85=Paramétrage!$D$15,G85=Paramétrage!$D$18,G85=Paramétrage!$D$22,G85=Paramétrage!$D$25,AND(G85&lt;&gt;Paramétrage!$D$9,K85="Mut+ext")),0,ROUNDUP(I85/J85,0))</f>
        <v>0</v>
      </c>
      <c r="Q85" s="407">
        <f>IF(OR(G85="",K85="Mut+ext"),0,IF(VLOOKUP(G85,Paramétrage!$D$6:$F$27,3,0)=0,0,IF(J85="","saisir capacité",H85*P85*VLOOKUP(G85,Paramétrage!$D$6:$F$27,2,0))))</f>
        <v>0</v>
      </c>
      <c r="R85" s="414"/>
      <c r="S85" s="409">
        <f t="shared" si="19"/>
        <v>0</v>
      </c>
      <c r="T85" s="23">
        <f>IF(G85="",0,IF(ISERROR(R85+Q85*VLOOKUP(G85,Paramétrage!$D$6:$F$27,3,0))=TRUE,S85,R85+Q85*VLOOKUP(G85,Paramétrage!$D$6:$F$27,3,0)))</f>
        <v>0</v>
      </c>
      <c r="U85" s="410"/>
      <c r="V85" s="410"/>
      <c r="W85" s="410"/>
      <c r="X85" s="410"/>
      <c r="Y85" s="411">
        <f t="shared" si="18"/>
        <v>0</v>
      </c>
      <c r="Z85" s="443"/>
      <c r="AA85" s="444"/>
      <c r="AB85" s="445"/>
      <c r="AC85" s="22">
        <f>IF(B85="",0,IF(E85="",0,IF(SUMIF(B69:B88,B85,I69:I88)=0,0,IF(E85="Obligatoire",AD85/I85,IF(F85="",AD85/SUMIF(B69:B88,B85,I69:I88),AD85/(SUMIF(B69:B88,B85,I69:I88)/F85))))))</f>
        <v>0</v>
      </c>
      <c r="AD85" s="415">
        <f>H85*I85</f>
        <v>0</v>
      </c>
    </row>
    <row r="86" spans="1:30" hidden="1">
      <c r="A86" s="477"/>
      <c r="B86" s="421"/>
      <c r="C86" s="24"/>
      <c r="D86" s="376"/>
      <c r="E86" s="34"/>
      <c r="F86" s="25"/>
      <c r="G86" s="413"/>
      <c r="H86" s="29"/>
      <c r="I86" s="410"/>
      <c r="J86" s="406"/>
      <c r="K86" s="27"/>
      <c r="L86" s="444"/>
      <c r="M86" s="444"/>
      <c r="N86" s="444"/>
      <c r="O86" s="445"/>
      <c r="P86" s="347">
        <f>IF(OR(J86="",G86=Paramétrage!$D$9,G86=Paramétrage!$D$12,G86=Paramétrage!$D$15,G86=Paramétrage!$D$18,G86=Paramétrage!$D$22,G86=Paramétrage!$D$25,AND(G86&lt;&gt;Paramétrage!$D$9,K86="Mut+ext")),0,ROUNDUP(I86/J86,0))</f>
        <v>0</v>
      </c>
      <c r="Q86" s="407">
        <f>IF(OR(G86="",K86="Mut+ext"),0,IF(VLOOKUP(G86,Paramétrage!$D$6:$F$27,3,0)=0,0,IF(J86="","saisir capacité",H86*P86*VLOOKUP(G86,Paramétrage!$D$6:$F$27,2,0))))</f>
        <v>0</v>
      </c>
      <c r="R86" s="414"/>
      <c r="S86" s="409">
        <f t="shared" si="19"/>
        <v>0</v>
      </c>
      <c r="T86" s="23">
        <f>IF(G86="",0,IF(ISERROR(R86+Q86*VLOOKUP(G86,Paramétrage!$D$6:$F$27,3,0))=TRUE,S86,R86+Q86*VLOOKUP(G86,Paramétrage!$D$6:$F$27,3,0)))</f>
        <v>0</v>
      </c>
      <c r="U86" s="416"/>
      <c r="V86" s="416"/>
      <c r="W86" s="416"/>
      <c r="X86" s="416"/>
      <c r="Y86" s="411">
        <f t="shared" si="18"/>
        <v>0</v>
      </c>
      <c r="Z86" s="443"/>
      <c r="AA86" s="444"/>
      <c r="AB86" s="445"/>
      <c r="AC86" s="22">
        <f>IF(B86="",0,IF(E86="",0,IF(SUMIF(B69:B88,B86,I69:I88)=0,0,IF(E86="Obligatoire",AD86/I86,IF(F86="",AD86/SUMIF(B69:B88,B86,I69:I88),AD86/(SUMIF(B69:B88,B86,I69:I88)/F86))))))</f>
        <v>0</v>
      </c>
      <c r="AD86" s="415">
        <f>H86*I86</f>
        <v>0</v>
      </c>
    </row>
    <row r="87" spans="1:30" hidden="1">
      <c r="A87" s="477"/>
      <c r="B87" s="421"/>
      <c r="C87" s="24"/>
      <c r="D87" s="376"/>
      <c r="E87" s="34"/>
      <c r="F87" s="25"/>
      <c r="G87" s="413"/>
      <c r="H87" s="29"/>
      <c r="I87" s="410"/>
      <c r="J87" s="406"/>
      <c r="K87" s="27"/>
      <c r="L87" s="444"/>
      <c r="M87" s="444"/>
      <c r="N87" s="444"/>
      <c r="O87" s="445"/>
      <c r="P87" s="347">
        <f>IF(OR(J87="",G87=Paramétrage!$D$9,G87=Paramétrage!$D$12,G87=Paramétrage!$D$15,G87=Paramétrage!$D$18,G87=Paramétrage!$D$22,G87=Paramétrage!$D$25,AND(G87&lt;&gt;Paramétrage!$D$9,K87="Mut+ext")),0,ROUNDUP(I87/J87,0))</f>
        <v>0</v>
      </c>
      <c r="Q87" s="407">
        <f>IF(OR(G87="",K87="Mut+ext"),0,IF(VLOOKUP(G87,Paramétrage!$D$6:$F$27,3,0)=0,0,IF(J87="","saisir capacité",H87*P87*VLOOKUP(G87,Paramétrage!$D$6:$F$27,2,0))))</f>
        <v>0</v>
      </c>
      <c r="R87" s="414"/>
      <c r="S87" s="409">
        <f t="shared" si="19"/>
        <v>0</v>
      </c>
      <c r="T87" s="23">
        <f>IF(G87="",0,IF(ISERROR(R87+Q87*VLOOKUP(G87,Paramétrage!$D$6:$F$27,3,0))=TRUE,S87,R87+Q87*VLOOKUP(G87,Paramétrage!$D$6:$F$27,3,0)))</f>
        <v>0</v>
      </c>
      <c r="U87" s="417"/>
      <c r="V87" s="417"/>
      <c r="W87" s="417"/>
      <c r="X87" s="417"/>
      <c r="Y87" s="411">
        <f t="shared" si="18"/>
        <v>0</v>
      </c>
      <c r="Z87" s="443"/>
      <c r="AA87" s="444"/>
      <c r="AB87" s="445"/>
      <c r="AC87" s="22">
        <f>IF(B87="",0,IF(E87="",0,IF(SUMIF(B69:B88,B87,I69:I88)=0,0,IF(E87="Obligatoire",AD87/I87,IF(F87="",AD87/SUMIF(B69:B88,B87,I69:I88),AD87/(SUMIF(B69:B88,B87,I69:I88)/F87))))))</f>
        <v>0</v>
      </c>
      <c r="AD87" s="415">
        <f>H87*I87</f>
        <v>0</v>
      </c>
    </row>
    <row r="88" spans="1:30" hidden="1">
      <c r="A88" s="477"/>
      <c r="B88" s="421"/>
      <c r="C88" s="24"/>
      <c r="D88" s="376"/>
      <c r="E88" s="34"/>
      <c r="F88" s="25"/>
      <c r="G88" s="413"/>
      <c r="H88" s="29"/>
      <c r="I88" s="410"/>
      <c r="J88" s="406"/>
      <c r="K88" s="27"/>
      <c r="L88" s="444"/>
      <c r="M88" s="444"/>
      <c r="N88" s="444"/>
      <c r="O88" s="445"/>
      <c r="P88" s="347">
        <f>IF(OR(J88="",G88=Paramétrage!$D$9,G88=Paramétrage!$D$12,G88=Paramétrage!$D$15,G88=Paramétrage!$D$18,G88=Paramétrage!$D$22,G88=Paramétrage!$D$25,AND(G88&lt;&gt;Paramétrage!$D$9,K88="Mut+ext")),0,ROUNDUP(I88/J88,0))</f>
        <v>0</v>
      </c>
      <c r="Q88" s="407">
        <f>IF(OR(G88="",K88="Mut+ext"),0,IF(VLOOKUP(G88,Paramétrage!$D$6:$F$27,3,0)=0,0,IF(J88="","saisir capacité",H88*P88*VLOOKUP(G88,Paramétrage!$D$6:$F$27,2,0))))</f>
        <v>0</v>
      </c>
      <c r="R88" s="414"/>
      <c r="S88" s="409">
        <f t="shared" si="19"/>
        <v>0</v>
      </c>
      <c r="T88" s="23">
        <f>IF(G88="",0,IF(ISERROR(R88+Q88*VLOOKUP(G88,Paramétrage!$D$6:$F$27,3,0))=TRUE,S88,R88+Q88*VLOOKUP(G88,Paramétrage!$D$6:$F$27,3,0)))</f>
        <v>0</v>
      </c>
      <c r="U88" s="410"/>
      <c r="V88" s="410"/>
      <c r="W88" s="410"/>
      <c r="X88" s="410"/>
      <c r="Y88" s="411">
        <f t="shared" si="18"/>
        <v>0</v>
      </c>
      <c r="Z88" s="443"/>
      <c r="AA88" s="444"/>
      <c r="AB88" s="445"/>
      <c r="AC88" s="22">
        <f>IF(B88="",0,IF(E88="",0,IF(SUMIF(B69:B88,B88,I69:I88)=0,0,IF(E88="Obligatoire",AD88/I88,IF(F88="",AD88/SUMIF(B69:B88,B88,I69:I88),AD88/(SUMIF(B69:B88,B88,I69:I88)/F88))))))</f>
        <v>0</v>
      </c>
      <c r="AD88" s="415">
        <f>H88*I88</f>
        <v>0</v>
      </c>
    </row>
    <row r="89" spans="1:30" ht="16.5" thickBot="1">
      <c r="A89" s="478"/>
      <c r="B89" s="423"/>
      <c r="C89" s="14"/>
      <c r="D89" s="44"/>
      <c r="E89" s="14"/>
      <c r="F89" s="15"/>
      <c r="G89" s="424"/>
      <c r="H89" s="32">
        <f>AC89</f>
        <v>886</v>
      </c>
      <c r="I89" s="425"/>
      <c r="J89" s="426"/>
      <c r="K89" s="36"/>
      <c r="L89" s="41"/>
      <c r="M89" s="41"/>
      <c r="N89" s="41"/>
      <c r="O89" s="42"/>
      <c r="P89" s="360"/>
      <c r="Q89" s="361">
        <f>SUM(Q49:Q88)</f>
        <v>106</v>
      </c>
      <c r="R89" s="342">
        <f>SUM(R49:R88)</f>
        <v>190</v>
      </c>
      <c r="S89" s="362">
        <f>SUM(S49:S88)</f>
        <v>296</v>
      </c>
      <c r="T89" s="45">
        <f>SUM(T49:T88)</f>
        <v>305</v>
      </c>
      <c r="U89" s="362">
        <f t="shared" ref="U89" si="22">SUM(U49:U88)</f>
        <v>220</v>
      </c>
      <c r="V89" s="362">
        <f t="shared" ref="V89" si="23">SUM(V49:V88)</f>
        <v>10</v>
      </c>
      <c r="W89" s="362">
        <f t="shared" ref="W89" si="24">SUM(W49:W88)</f>
        <v>66</v>
      </c>
      <c r="X89" s="362">
        <f t="shared" ref="X89" si="25">SUM(X49:X88)</f>
        <v>0</v>
      </c>
      <c r="Y89" s="362">
        <f t="shared" ref="Y89" si="26">SUM(Y49:Y88)</f>
        <v>296</v>
      </c>
      <c r="Z89" s="436"/>
      <c r="AA89" s="428"/>
      <c r="AB89" s="437"/>
      <c r="AC89" s="43">
        <f>SUM(AC49:AC88)</f>
        <v>886</v>
      </c>
      <c r="AD89" s="21">
        <f>SUM(AD49:AD88)</f>
        <v>6356</v>
      </c>
    </row>
    <row r="90" spans="1:30" ht="16.5" thickBot="1">
      <c r="A90" s="37"/>
      <c r="B90" s="16"/>
      <c r="C90" s="16"/>
      <c r="D90" s="16"/>
      <c r="E90" s="16"/>
      <c r="F90" s="16"/>
      <c r="G90" s="17"/>
      <c r="H90" s="33">
        <f>ROUND(H48+H89,1)</f>
        <v>1199</v>
      </c>
      <c r="I90" s="18"/>
      <c r="J90" s="19"/>
      <c r="K90" s="18"/>
      <c r="L90" s="18"/>
      <c r="M90" s="18"/>
      <c r="N90" s="18"/>
      <c r="O90" s="28"/>
      <c r="P90" s="31"/>
      <c r="Q90" s="46">
        <f>Q48+Q89</f>
        <v>398</v>
      </c>
      <c r="R90" s="46">
        <f t="shared" ref="R90:T90" si="27">R48+R89</f>
        <v>200</v>
      </c>
      <c r="S90" s="46">
        <f t="shared" si="27"/>
        <v>598</v>
      </c>
      <c r="T90" s="46">
        <f t="shared" si="27"/>
        <v>679</v>
      </c>
    </row>
    <row r="91" spans="1:30" ht="18" customHeight="1">
      <c r="M91" s="20"/>
    </row>
    <row r="92" spans="1:30">
      <c r="C92" s="382"/>
    </row>
    <row r="93" spans="1:30">
      <c r="C93" s="382"/>
    </row>
    <row r="94" spans="1:30">
      <c r="C94" s="382"/>
    </row>
    <row r="95" spans="1:30">
      <c r="C95" s="382"/>
    </row>
  </sheetData>
  <sheetProtection algorithmName="SHA-512" hashValue="KD5eW7KEh8bVUhSJbvRPy5Y924EpmDRLrcplGi/WEpUoEX/w8AGJHCsTwi/Un/XVxXL6vVL9ZKDgrg/EQZkxZA==" saltValue="dxC1b3CSteIwY7GSXTVz5g==" spinCount="100000" sheet="1" formatCells="0" formatRows="0" autoFilter="0"/>
  <mergeCells count="170">
    <mergeCell ref="AD6:AD7"/>
    <mergeCell ref="L28:O28"/>
    <mergeCell ref="L42:O42"/>
    <mergeCell ref="L43:O43"/>
    <mergeCell ref="L44:O44"/>
    <mergeCell ref="L45:O45"/>
    <mergeCell ref="L46:O46"/>
    <mergeCell ref="L47:O47"/>
    <mergeCell ref="Z11:AB11"/>
    <mergeCell ref="Z24:AB24"/>
    <mergeCell ref="Z25:AB25"/>
    <mergeCell ref="Z26:AB26"/>
    <mergeCell ref="Z20:AB20"/>
    <mergeCell ref="Z21:AB21"/>
    <mergeCell ref="Z22:AB22"/>
    <mergeCell ref="Z23:AB23"/>
    <mergeCell ref="L8:O8"/>
    <mergeCell ref="L24:O24"/>
    <mergeCell ref="L11:O11"/>
    <mergeCell ref="Z39:AB39"/>
    <mergeCell ref="Z40:AB40"/>
    <mergeCell ref="Z41:AB41"/>
    <mergeCell ref="Z27:AB27"/>
    <mergeCell ref="Z31:AB31"/>
    <mergeCell ref="L75:O75"/>
    <mergeCell ref="H6:H7"/>
    <mergeCell ref="A8:A48"/>
    <mergeCell ref="A49:A89"/>
    <mergeCell ref="L50:O50"/>
    <mergeCell ref="L63:O63"/>
    <mergeCell ref="AC6:AC7"/>
    <mergeCell ref="L16:O16"/>
    <mergeCell ref="Z32:AB32"/>
    <mergeCell ref="Z77:AB77"/>
    <mergeCell ref="L13:O13"/>
    <mergeCell ref="L17:O17"/>
    <mergeCell ref="L18:O18"/>
    <mergeCell ref="L19:O19"/>
    <mergeCell ref="L20:O20"/>
    <mergeCell ref="L21:O21"/>
    <mergeCell ref="L22:O22"/>
    <mergeCell ref="Z28:AB28"/>
    <mergeCell ref="Z29:AB29"/>
    <mergeCell ref="L71:O71"/>
    <mergeCell ref="L87:O87"/>
    <mergeCell ref="Z30:AB30"/>
    <mergeCell ref="Z38:AB38"/>
    <mergeCell ref="L77:O77"/>
    <mergeCell ref="L78:O78"/>
    <mergeCell ref="L79:O79"/>
    <mergeCell ref="L80:O80"/>
    <mergeCell ref="L81:O81"/>
    <mergeCell ref="L82:O82"/>
    <mergeCell ref="B6:B7"/>
    <mergeCell ref="L69:O69"/>
    <mergeCell ref="K6:K7"/>
    <mergeCell ref="C6:C7"/>
    <mergeCell ref="E6:E7"/>
    <mergeCell ref="F6:F7"/>
    <mergeCell ref="L6:O7"/>
    <mergeCell ref="G6:G7"/>
    <mergeCell ref="I6:I7"/>
    <mergeCell ref="J6:J7"/>
    <mergeCell ref="L23:O23"/>
    <mergeCell ref="L12:O12"/>
    <mergeCell ref="D6:D7"/>
    <mergeCell ref="L14:O14"/>
    <mergeCell ref="L15:O15"/>
    <mergeCell ref="L10:O10"/>
    <mergeCell ref="L9:O9"/>
    <mergeCell ref="L74:O74"/>
    <mergeCell ref="L68:O68"/>
    <mergeCell ref="L55:O55"/>
    <mergeCell ref="L40:O40"/>
    <mergeCell ref="L41:O41"/>
    <mergeCell ref="L51:O51"/>
    <mergeCell ref="L52:O52"/>
    <mergeCell ref="L53:O53"/>
    <mergeCell ref="L54:O54"/>
    <mergeCell ref="L31:O31"/>
    <mergeCell ref="L32:O32"/>
    <mergeCell ref="L33:O33"/>
    <mergeCell ref="L34:O34"/>
    <mergeCell ref="L35:O35"/>
    <mergeCell ref="L36:O36"/>
    <mergeCell ref="L37:O37"/>
    <mergeCell ref="L49:O49"/>
    <mergeCell ref="L25:O25"/>
    <mergeCell ref="L26:O26"/>
    <mergeCell ref="L38:O38"/>
    <mergeCell ref="L39:O39"/>
    <mergeCell ref="Z51:AB51"/>
    <mergeCell ref="Z52:AB52"/>
    <mergeCell ref="Z53:AB53"/>
    <mergeCell ref="Z54:AB54"/>
    <mergeCell ref="L27:O27"/>
    <mergeCell ref="L29:O29"/>
    <mergeCell ref="L30:O30"/>
    <mergeCell ref="L73:O73"/>
    <mergeCell ref="Z73:AB73"/>
    <mergeCell ref="Z70:AB70"/>
    <mergeCell ref="Z71:AB71"/>
    <mergeCell ref="L70:O70"/>
    <mergeCell ref="Z74:AB74"/>
    <mergeCell ref="L76:O76"/>
    <mergeCell ref="Z6:AB7"/>
    <mergeCell ref="Z8:AB8"/>
    <mergeCell ref="Z9:AB9"/>
    <mergeCell ref="Z10:AB10"/>
    <mergeCell ref="Z12:AB12"/>
    <mergeCell ref="Z13:AB13"/>
    <mergeCell ref="Z17:AB17"/>
    <mergeCell ref="Z18:AB18"/>
    <mergeCell ref="Z19:AB19"/>
    <mergeCell ref="Z14:AB14"/>
    <mergeCell ref="Z15:AB15"/>
    <mergeCell ref="Z16:AB16"/>
    <mergeCell ref="Z35:AB35"/>
    <mergeCell ref="Z36:AB36"/>
    <mergeCell ref="Z37:AB37"/>
    <mergeCell ref="Z33:AB33"/>
    <mergeCell ref="Z34:AB34"/>
    <mergeCell ref="L56:O56"/>
    <mergeCell ref="L57:O57"/>
    <mergeCell ref="L58:O58"/>
    <mergeCell ref="L59:O59"/>
    <mergeCell ref="L60:O60"/>
    <mergeCell ref="L61:O61"/>
    <mergeCell ref="L62:O62"/>
    <mergeCell ref="L72:O72"/>
    <mergeCell ref="Z72:AB72"/>
    <mergeCell ref="L66:O66"/>
    <mergeCell ref="L67:O67"/>
    <mergeCell ref="L64:O64"/>
    <mergeCell ref="L65:O65"/>
    <mergeCell ref="Z80:AB80"/>
    <mergeCell ref="Z81:AB81"/>
    <mergeCell ref="Z42:AB42"/>
    <mergeCell ref="Z43:AB43"/>
    <mergeCell ref="Z44:AB44"/>
    <mergeCell ref="Z45:AB45"/>
    <mergeCell ref="Z46:AB46"/>
    <mergeCell ref="Z47:AB47"/>
    <mergeCell ref="Z49:AB49"/>
    <mergeCell ref="Z50:AB50"/>
    <mergeCell ref="Z63:AB63"/>
    <mergeCell ref="Z64:AB64"/>
    <mergeCell ref="Z65:AB65"/>
    <mergeCell ref="Z66:AB66"/>
    <mergeCell ref="Z67:AB67"/>
    <mergeCell ref="Z68:AB68"/>
    <mergeCell ref="Z69:AB69"/>
    <mergeCell ref="Z58:AB58"/>
    <mergeCell ref="Z59:AB59"/>
    <mergeCell ref="Z75:AB75"/>
    <mergeCell ref="Z76:AB76"/>
    <mergeCell ref="Z78:AB78"/>
    <mergeCell ref="Z79:AB79"/>
    <mergeCell ref="Z82:AB82"/>
    <mergeCell ref="L83:O83"/>
    <mergeCell ref="Z83:AB83"/>
    <mergeCell ref="Z84:AB84"/>
    <mergeCell ref="Z85:AB85"/>
    <mergeCell ref="Z86:AB86"/>
    <mergeCell ref="Z87:AB87"/>
    <mergeCell ref="Z88:AB88"/>
    <mergeCell ref="L85:O85"/>
    <mergeCell ref="L88:O88"/>
    <mergeCell ref="L84:O84"/>
    <mergeCell ref="L86:O86"/>
  </mergeCells>
  <conditionalFormatting sqref="Z8 Z25:Z27 Z85:Z88 Z35:Z47">
    <cfRule type="expression" dxfId="132" priority="445">
      <formula>$G8=#REF!</formula>
    </cfRule>
    <cfRule type="expression" dxfId="131" priority="446">
      <formula>$G8=#REF!</formula>
    </cfRule>
    <cfRule type="expression" dxfId="130" priority="447">
      <formula>$G8=#REF!</formula>
    </cfRule>
    <cfRule type="expression" dxfId="129" priority="448">
      <formula>$G8=#REF!</formula>
    </cfRule>
  </conditionalFormatting>
  <conditionalFormatting sqref="Z9:Z11">
    <cfRule type="expression" dxfId="128" priority="411">
      <formula>$G9=#REF!</formula>
    </cfRule>
    <cfRule type="expression" dxfId="127" priority="412">
      <formula>$G9=#REF!</formula>
    </cfRule>
    <cfRule type="expression" dxfId="126" priority="413">
      <formula>$G9=#REF!</formula>
    </cfRule>
    <cfRule type="expression" dxfId="125" priority="414">
      <formula>$G9=#REF!</formula>
    </cfRule>
  </conditionalFormatting>
  <conditionalFormatting sqref="Z28:Z29">
    <cfRule type="expression" dxfId="124" priority="397">
      <formula>$G28=#REF!</formula>
    </cfRule>
    <cfRule type="expression" dxfId="123" priority="398">
      <formula>$G28=#REF!</formula>
    </cfRule>
    <cfRule type="expression" dxfId="122" priority="399">
      <formula>$G28=#REF!</formula>
    </cfRule>
    <cfRule type="expression" dxfId="121" priority="400">
      <formula>$G28=#REF!</formula>
    </cfRule>
  </conditionalFormatting>
  <conditionalFormatting sqref="Z49:Z53 Z63:Z68 Z61 Z58">
    <cfRule type="expression" dxfId="120" priority="383">
      <formula>$G49=#REF!</formula>
    </cfRule>
    <cfRule type="expression" dxfId="119" priority="384">
      <formula>$G49=#REF!</formula>
    </cfRule>
    <cfRule type="expression" dxfId="118" priority="385">
      <formula>$G49=#REF!</formula>
    </cfRule>
    <cfRule type="expression" dxfId="117" priority="386">
      <formula>$G49=#REF!</formula>
    </cfRule>
  </conditionalFormatting>
  <conditionalFormatting sqref="Z69:Z71">
    <cfRule type="expression" dxfId="116" priority="369">
      <formula>$G69=#REF!</formula>
    </cfRule>
    <cfRule type="expression" dxfId="115" priority="370">
      <formula>$G69=#REF!</formula>
    </cfRule>
    <cfRule type="expression" dxfId="114" priority="371">
      <formula>$G69=#REF!</formula>
    </cfRule>
    <cfRule type="expression" dxfId="113" priority="372">
      <formula>$G69=#REF!</formula>
    </cfRule>
  </conditionalFormatting>
  <conditionalFormatting sqref="K90">
    <cfRule type="cellIs" dxfId="112" priority="164" operator="equal">
      <formula>"Mut+ext"</formula>
    </cfRule>
  </conditionalFormatting>
  <conditionalFormatting sqref="K48 K89">
    <cfRule type="cellIs" dxfId="111" priority="179" operator="equal">
      <formula>"Mut+ext"</formula>
    </cfRule>
  </conditionalFormatting>
  <conditionalFormatting sqref="K8:K31">
    <cfRule type="cellIs" dxfId="110" priority="176" operator="equal">
      <formula>"Mut+ext"</formula>
    </cfRule>
  </conditionalFormatting>
  <conditionalFormatting sqref="K32:K47">
    <cfRule type="cellIs" dxfId="109" priority="174" operator="equal">
      <formula>"Mut+ext"</formula>
    </cfRule>
  </conditionalFormatting>
  <conditionalFormatting sqref="K58:K68">
    <cfRule type="cellIs" dxfId="108" priority="172" operator="equal">
      <formula>"Mut+ext"</formula>
    </cfRule>
  </conditionalFormatting>
  <conditionalFormatting sqref="K69:K71 K85:K88">
    <cfRule type="cellIs" dxfId="107" priority="170" operator="equal">
      <formula>"Mut+ext"</formula>
    </cfRule>
  </conditionalFormatting>
  <conditionalFormatting sqref="Z12:Z24">
    <cfRule type="expression" dxfId="106" priority="131">
      <formula>$G12=#REF!</formula>
    </cfRule>
    <cfRule type="expression" dxfId="105" priority="132">
      <formula>$G12=#REF!</formula>
    </cfRule>
    <cfRule type="expression" dxfId="104" priority="133">
      <formula>$G12=#REF!</formula>
    </cfRule>
    <cfRule type="expression" dxfId="103" priority="134">
      <formula>$G12=#REF!</formula>
    </cfRule>
  </conditionalFormatting>
  <conditionalFormatting sqref="Z30">
    <cfRule type="expression" dxfId="102" priority="127">
      <formula>$G30=#REF!</formula>
    </cfRule>
    <cfRule type="expression" dxfId="101" priority="128">
      <formula>$G30=#REF!</formula>
    </cfRule>
    <cfRule type="expression" dxfId="100" priority="129">
      <formula>$G30=#REF!</formula>
    </cfRule>
    <cfRule type="expression" dxfId="99" priority="130">
      <formula>$G30=#REF!</formula>
    </cfRule>
  </conditionalFormatting>
  <conditionalFormatting sqref="Z31:Z32">
    <cfRule type="expression" dxfId="98" priority="119">
      <formula>$G31=#REF!</formula>
    </cfRule>
    <cfRule type="expression" dxfId="97" priority="120">
      <formula>$G31=#REF!</formula>
    </cfRule>
    <cfRule type="expression" dxfId="96" priority="121">
      <formula>$G31=#REF!</formula>
    </cfRule>
    <cfRule type="expression" dxfId="95" priority="122">
      <formula>$G31=#REF!</formula>
    </cfRule>
  </conditionalFormatting>
  <conditionalFormatting sqref="Z33:Z34">
    <cfRule type="expression" dxfId="94" priority="115">
      <formula>$G33=#REF!</formula>
    </cfRule>
    <cfRule type="expression" dxfId="93" priority="116">
      <formula>$G33=#REF!</formula>
    </cfRule>
    <cfRule type="expression" dxfId="92" priority="117">
      <formula>$G33=#REF!</formula>
    </cfRule>
    <cfRule type="expression" dxfId="91" priority="118">
      <formula>$G33=#REF!</formula>
    </cfRule>
  </conditionalFormatting>
  <conditionalFormatting sqref="Z72:Z84">
    <cfRule type="expression" dxfId="90" priority="111">
      <formula>$G72=#REF!</formula>
    </cfRule>
    <cfRule type="expression" dxfId="89" priority="112">
      <formula>$G72=#REF!</formula>
    </cfRule>
    <cfRule type="expression" dxfId="88" priority="113">
      <formula>$G72=#REF!</formula>
    </cfRule>
    <cfRule type="expression" dxfId="87" priority="114">
      <formula>$G72=#REF!</formula>
    </cfRule>
  </conditionalFormatting>
  <conditionalFormatting sqref="K72:K84">
    <cfRule type="cellIs" dxfId="86" priority="109" operator="equal">
      <formula>"Mut+ext"</formula>
    </cfRule>
  </conditionalFormatting>
  <conditionalFormatting sqref="Y28:Y47">
    <cfRule type="cellIs" dxfId="85" priority="97" operator="notEqual">
      <formula>S28</formula>
    </cfRule>
  </conditionalFormatting>
  <conditionalFormatting sqref="Y49:Y68">
    <cfRule type="cellIs" dxfId="84" priority="95" operator="notEqual">
      <formula>S49</formula>
    </cfRule>
  </conditionalFormatting>
  <conditionalFormatting sqref="Y69:Y88">
    <cfRule type="cellIs" dxfId="83" priority="93" operator="notEqual">
      <formula>S69</formula>
    </cfRule>
  </conditionalFormatting>
  <conditionalFormatting sqref="Y8:Y27">
    <cfRule type="cellIs" dxfId="82" priority="87" operator="notEqual">
      <formula>S8</formula>
    </cfRule>
  </conditionalFormatting>
  <conditionalFormatting sqref="F13:F19 F8:F11 F24:F27">
    <cfRule type="expression" dxfId="81" priority="84">
      <formula>E8="obligatoire"</formula>
    </cfRule>
  </conditionalFormatting>
  <conditionalFormatting sqref="F28:F47">
    <cfRule type="expression" dxfId="80" priority="83">
      <formula>E28="obligatoire"</formula>
    </cfRule>
  </conditionalFormatting>
  <conditionalFormatting sqref="F62:F68">
    <cfRule type="expression" dxfId="79" priority="82">
      <formula>E62="obligatoire"</formula>
    </cfRule>
  </conditionalFormatting>
  <conditionalFormatting sqref="F69:F88">
    <cfRule type="expression" dxfId="78" priority="81">
      <formula>E69="obligatoire"</formula>
    </cfRule>
  </conditionalFormatting>
  <conditionalFormatting sqref="F12">
    <cfRule type="expression" dxfId="77" priority="77">
      <formula>E12="obligatoire"</formula>
    </cfRule>
  </conditionalFormatting>
  <conditionalFormatting sqref="F58:F62">
    <cfRule type="expression" dxfId="76" priority="76">
      <formula>E58="obligatoire"</formula>
    </cfRule>
  </conditionalFormatting>
  <conditionalFormatting sqref="F49:F51">
    <cfRule type="expression" dxfId="75" priority="75">
      <formula>E49="obligatoire"</formula>
    </cfRule>
  </conditionalFormatting>
  <conditionalFormatting sqref="F20:F21">
    <cfRule type="expression" dxfId="74" priority="74">
      <formula>E20="obligatoire"</formula>
    </cfRule>
  </conditionalFormatting>
  <conditionalFormatting sqref="F23">
    <cfRule type="expression" dxfId="73" priority="68">
      <formula>E23="obligatoire"</formula>
    </cfRule>
  </conditionalFormatting>
  <conditionalFormatting sqref="F22">
    <cfRule type="expression" dxfId="72" priority="67">
      <formula>E22="obligatoire"</formula>
    </cfRule>
  </conditionalFormatting>
  <conditionalFormatting sqref="F22">
    <cfRule type="expression" dxfId="71" priority="66">
      <formula>E22="obligatoire"</formula>
    </cfRule>
  </conditionalFormatting>
  <conditionalFormatting sqref="F52">
    <cfRule type="expression" dxfId="70" priority="62">
      <formula>E52="obligatoire"</formula>
    </cfRule>
  </conditionalFormatting>
  <conditionalFormatting sqref="F53">
    <cfRule type="expression" dxfId="69" priority="61">
      <formula>E53="obligatoire"</formula>
    </cfRule>
  </conditionalFormatting>
  <conditionalFormatting sqref="Z62">
    <cfRule type="expression" dxfId="68" priority="57">
      <formula>$G62=#REF!</formula>
    </cfRule>
    <cfRule type="expression" dxfId="67" priority="58">
      <formula>$G62=#REF!</formula>
    </cfRule>
    <cfRule type="expression" dxfId="66" priority="59">
      <formula>$G62=#REF!</formula>
    </cfRule>
    <cfRule type="expression" dxfId="65" priority="60">
      <formula>$G62=#REF!</formula>
    </cfRule>
  </conditionalFormatting>
  <conditionalFormatting sqref="Z59">
    <cfRule type="expression" dxfId="64" priority="53">
      <formula>$G59=#REF!</formula>
    </cfRule>
    <cfRule type="expression" dxfId="63" priority="54">
      <formula>$G59=#REF!</formula>
    </cfRule>
    <cfRule type="expression" dxfId="62" priority="55">
      <formula>$G59=#REF!</formula>
    </cfRule>
    <cfRule type="expression" dxfId="61" priority="56">
      <formula>$G59=#REF!</formula>
    </cfRule>
  </conditionalFormatting>
  <conditionalFormatting sqref="Z60">
    <cfRule type="expression" dxfId="60" priority="49">
      <formula>$G60=#REF!</formula>
    </cfRule>
    <cfRule type="expression" dxfId="59" priority="50">
      <formula>$G60=#REF!</formula>
    </cfRule>
    <cfRule type="expression" dxfId="58" priority="51">
      <formula>$G60=#REF!</formula>
    </cfRule>
    <cfRule type="expression" dxfId="57" priority="52">
      <formula>$G60=#REF!</formula>
    </cfRule>
  </conditionalFormatting>
  <conditionalFormatting sqref="Z59 Z62">
    <cfRule type="expression" dxfId="56" priority="45">
      <formula>$G59=#REF!</formula>
    </cfRule>
    <cfRule type="expression" dxfId="55" priority="46">
      <formula>$G59=#REF!</formula>
    </cfRule>
    <cfRule type="expression" dxfId="54" priority="47">
      <formula>$G59=#REF!</formula>
    </cfRule>
    <cfRule type="expression" dxfId="53" priority="48">
      <formula>$G59=#REF!</formula>
    </cfRule>
  </conditionalFormatting>
  <conditionalFormatting sqref="Z60">
    <cfRule type="expression" dxfId="52" priority="41">
      <formula>$G60=#REF!</formula>
    </cfRule>
    <cfRule type="expression" dxfId="51" priority="42">
      <formula>$G60=#REF!</formula>
    </cfRule>
    <cfRule type="expression" dxfId="50" priority="43">
      <formula>$G60=#REF!</formula>
    </cfRule>
    <cfRule type="expression" dxfId="49" priority="44">
      <formula>$G60=#REF!</formula>
    </cfRule>
  </conditionalFormatting>
  <conditionalFormatting sqref="Z61">
    <cfRule type="expression" dxfId="48" priority="37">
      <formula>$G61=#REF!</formula>
    </cfRule>
    <cfRule type="expression" dxfId="47" priority="38">
      <formula>$G61=#REF!</formula>
    </cfRule>
    <cfRule type="expression" dxfId="46" priority="39">
      <formula>$G61=#REF!</formula>
    </cfRule>
    <cfRule type="expression" dxfId="45" priority="40">
      <formula>$G61=#REF!</formula>
    </cfRule>
  </conditionalFormatting>
  <conditionalFormatting sqref="K54:K57">
    <cfRule type="cellIs" dxfId="44" priority="36" operator="equal">
      <formula>"Mut+ext"</formula>
    </cfRule>
  </conditionalFormatting>
  <conditionalFormatting sqref="F57">
    <cfRule type="expression" dxfId="43" priority="35">
      <formula>E57="obligatoire"</formula>
    </cfRule>
  </conditionalFormatting>
  <conditionalFormatting sqref="F54:F57">
    <cfRule type="expression" dxfId="42" priority="34">
      <formula>E54="obligatoire"</formula>
    </cfRule>
  </conditionalFormatting>
  <conditionalFormatting sqref="Z56">
    <cfRule type="expression" dxfId="41" priority="30">
      <formula>$G56=#REF!</formula>
    </cfRule>
    <cfRule type="expression" dxfId="40" priority="31">
      <formula>$G56=#REF!</formula>
    </cfRule>
    <cfRule type="expression" dxfId="39" priority="32">
      <formula>$G56=#REF!</formula>
    </cfRule>
    <cfRule type="expression" dxfId="38" priority="33">
      <formula>$G56=#REF!</formula>
    </cfRule>
  </conditionalFormatting>
  <conditionalFormatting sqref="Z57">
    <cfRule type="expression" dxfId="37" priority="26">
      <formula>$G57=#REF!</formula>
    </cfRule>
    <cfRule type="expression" dxfId="36" priority="27">
      <formula>$G57=#REF!</formula>
    </cfRule>
    <cfRule type="expression" dxfId="35" priority="28">
      <formula>$G57=#REF!</formula>
    </cfRule>
    <cfRule type="expression" dxfId="34" priority="29">
      <formula>$G57=#REF!</formula>
    </cfRule>
  </conditionalFormatting>
  <conditionalFormatting sqref="Z54">
    <cfRule type="expression" dxfId="33" priority="22">
      <formula>$G54=#REF!</formula>
    </cfRule>
    <cfRule type="expression" dxfId="32" priority="23">
      <formula>$G54=#REF!</formula>
    </cfRule>
    <cfRule type="expression" dxfId="31" priority="24">
      <formula>$G54=#REF!</formula>
    </cfRule>
    <cfRule type="expression" dxfId="30" priority="25">
      <formula>$G54=#REF!</formula>
    </cfRule>
  </conditionalFormatting>
  <conditionalFormatting sqref="Z55">
    <cfRule type="expression" dxfId="29" priority="18">
      <formula>$G55=#REF!</formula>
    </cfRule>
    <cfRule type="expression" dxfId="28" priority="19">
      <formula>$G55=#REF!</formula>
    </cfRule>
    <cfRule type="expression" dxfId="27" priority="20">
      <formula>$G55=#REF!</formula>
    </cfRule>
    <cfRule type="expression" dxfId="26" priority="21">
      <formula>$G55=#REF!</formula>
    </cfRule>
  </conditionalFormatting>
  <conditionalFormatting sqref="Z54 Z57">
    <cfRule type="expression" dxfId="25" priority="14">
      <formula>$G54=#REF!</formula>
    </cfRule>
    <cfRule type="expression" dxfId="24" priority="15">
      <formula>$G54=#REF!</formula>
    </cfRule>
    <cfRule type="expression" dxfId="23" priority="16">
      <formula>$G54=#REF!</formula>
    </cfRule>
    <cfRule type="expression" dxfId="22" priority="17">
      <formula>$G54=#REF!</formula>
    </cfRule>
  </conditionalFormatting>
  <conditionalFormatting sqref="Z55">
    <cfRule type="expression" dxfId="21" priority="10">
      <formula>$G55=#REF!</formula>
    </cfRule>
    <cfRule type="expression" dxfId="20" priority="11">
      <formula>$G55=#REF!</formula>
    </cfRule>
    <cfRule type="expression" dxfId="19" priority="12">
      <formula>$G55=#REF!</formula>
    </cfRule>
    <cfRule type="expression" dxfId="18" priority="13">
      <formula>$G55=#REF!</formula>
    </cfRule>
  </conditionalFormatting>
  <conditionalFormatting sqref="Z56">
    <cfRule type="expression" dxfId="17" priority="6">
      <formula>$G56=#REF!</formula>
    </cfRule>
    <cfRule type="expression" dxfId="16" priority="7">
      <formula>$G56=#REF!</formula>
    </cfRule>
    <cfRule type="expression" dxfId="15" priority="8">
      <formula>$G56=#REF!</formula>
    </cfRule>
    <cfRule type="expression" dxfId="14" priority="9">
      <formula>$G56=#REF!</formula>
    </cfRule>
  </conditionalFormatting>
  <conditionalFormatting sqref="K53">
    <cfRule type="cellIs" dxfId="13" priority="5" operator="equal">
      <formula>"Mut+ext"</formula>
    </cfRule>
  </conditionalFormatting>
  <conditionalFormatting sqref="K52">
    <cfRule type="cellIs" dxfId="12" priority="4" operator="equal">
      <formula>"Mut+ext"</formula>
    </cfRule>
  </conditionalFormatting>
  <conditionalFormatting sqref="K51">
    <cfRule type="cellIs" dxfId="11" priority="3" operator="equal">
      <formula>"Mut+ext"</formula>
    </cfRule>
  </conditionalFormatting>
  <conditionalFormatting sqref="K50">
    <cfRule type="cellIs" dxfId="10" priority="2" operator="equal">
      <formula>"Mut+ext"</formula>
    </cfRule>
  </conditionalFormatting>
  <conditionalFormatting sqref="K49">
    <cfRule type="cellIs" dxfId="9" priority="1" operator="equal">
      <formula>"Mut+ext"</formula>
    </cfRule>
  </conditionalFormatting>
  <dataValidations count="5">
    <dataValidation type="list" allowBlank="1" showInputMessage="1" showErrorMessage="1" sqref="G48" xr:uid="{00000000-0002-0000-0000-000000000000}">
      <formula1>#REF!</formula1>
    </dataValidation>
    <dataValidation type="list" allowBlank="1" showInputMessage="1" showErrorMessage="1" sqref="F8:F88" xr:uid="{00000000-0002-0000-0000-000001000000}">
      <formula1>"1,2,3,4"</formula1>
    </dataValidation>
    <dataValidation type="list" allowBlank="1" showInputMessage="1" showErrorMessage="1" sqref="E8:E88" xr:uid="{00000000-0002-0000-0000-000002000000}">
      <formula1>"Obligatoire,Option"</formula1>
    </dataValidation>
    <dataValidation type="list" allowBlank="1" showInputMessage="1" showErrorMessage="1" sqref="K8:K47 K49:K88" xr:uid="{00000000-0002-0000-0000-000003000000}">
      <formula1>"Non,Mut,Mut+ext"</formula1>
    </dataValidation>
    <dataValidation type="list" allowBlank="1" showInputMessage="1" showErrorMessage="1" sqref="D49:D88 D8:D47" xr:uid="{00000000-0002-0000-0000-000004000000}">
      <formula1>"MIXTE,FI/FC,ALT"</formula1>
    </dataValidation>
  </dataValidations>
  <pageMargins left="0.25" right="0.25" top="0.75" bottom="0.75" header="0.3" footer="0.3"/>
  <pageSetup paperSize="8" scale="53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5000000}">
          <x14:formula1>
            <xm:f>Paramétrage!$D$6:$D$27</xm:f>
          </x14:formula1>
          <xm:sqref>G8:G47</xm:sqref>
        </x14:dataValidation>
        <x14:dataValidation type="list" allowBlank="1" showInputMessage="1" showErrorMessage="1" xr:uid="{00000000-0002-0000-0000-000006000000}">
          <x14:formula1>
            <xm:f>Paramétrage!D$6:D$27</xm:f>
          </x14:formula1>
          <xm:sqref>G49:G88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"/>
  <sheetViews>
    <sheetView zoomScale="85" zoomScaleNormal="85" workbookViewId="0">
      <pane ySplit="11" topLeftCell="A13" activePane="bottomLeft" state="frozen"/>
      <selection pane="bottomLeft" activeCell="M33" sqref="M33"/>
    </sheetView>
  </sheetViews>
  <sheetFormatPr defaultColWidth="11.42578125" defaultRowHeight="12.75"/>
  <cols>
    <col min="1" max="1" width="3.140625" style="48" customWidth="1"/>
    <col min="2" max="2" width="12.85546875" style="48" customWidth="1"/>
    <col min="3" max="3" width="24" style="48" customWidth="1"/>
    <col min="4" max="6" width="11.42578125" style="48"/>
    <col min="7" max="7" width="11.42578125" style="48" customWidth="1"/>
    <col min="8" max="11" width="11.42578125" style="48"/>
    <col min="12" max="12" width="22.140625" style="48" customWidth="1"/>
    <col min="13" max="13" width="11.42578125" style="48" customWidth="1"/>
    <col min="14" max="14" width="24.28515625" style="48" customWidth="1"/>
    <col min="15" max="15" width="9.85546875" style="48" customWidth="1"/>
    <col min="16" max="17" width="6.7109375" style="48" customWidth="1"/>
    <col min="18" max="16384" width="11.42578125" style="48"/>
  </cols>
  <sheetData>
    <row r="1" spans="1:17" ht="7.35" customHeight="1" thickBot="1">
      <c r="H1" s="49"/>
      <c r="I1" s="50"/>
      <c r="J1" s="51"/>
      <c r="K1" s="49"/>
      <c r="L1" s="49"/>
    </row>
    <row r="2" spans="1:17" ht="28.35" customHeight="1" thickBot="1">
      <c r="A2" s="52"/>
      <c r="B2" s="486" t="s">
        <v>112</v>
      </c>
      <c r="C2" s="487"/>
      <c r="D2" s="487"/>
      <c r="E2" s="487"/>
      <c r="F2" s="487"/>
      <c r="G2" s="487"/>
      <c r="H2" s="487"/>
      <c r="I2" s="487"/>
      <c r="J2" s="487"/>
      <c r="K2" s="487"/>
      <c r="L2" s="487"/>
      <c r="M2" s="488"/>
    </row>
    <row r="3" spans="1:17" ht="12.6" customHeight="1">
      <c r="F3" s="49"/>
      <c r="G3" s="49"/>
      <c r="H3" s="49"/>
      <c r="I3" s="49"/>
      <c r="J3" s="51"/>
      <c r="K3" s="49"/>
      <c r="L3" s="49"/>
    </row>
    <row r="4" spans="1:17" ht="22.35" customHeight="1">
      <c r="C4" s="53" t="s">
        <v>113</v>
      </c>
      <c r="D4" s="483" t="s">
        <v>114</v>
      </c>
      <c r="E4" s="485"/>
      <c r="G4" s="53" t="s">
        <v>115</v>
      </c>
      <c r="H4" s="483" t="s">
        <v>116</v>
      </c>
      <c r="I4" s="484"/>
      <c r="J4" s="484"/>
      <c r="K4" s="485"/>
    </row>
    <row r="5" spans="1:17" ht="22.35" customHeight="1">
      <c r="C5" s="54" t="s">
        <v>117</v>
      </c>
      <c r="D5" s="489">
        <v>31470</v>
      </c>
      <c r="E5" s="485"/>
      <c r="G5" s="53" t="s">
        <v>118</v>
      </c>
      <c r="H5" s="490" t="s">
        <v>119</v>
      </c>
      <c r="I5" s="484"/>
      <c r="J5" s="484"/>
      <c r="K5" s="485"/>
    </row>
    <row r="6" spans="1:17" ht="22.35" customHeight="1">
      <c r="C6" s="481" t="s">
        <v>120</v>
      </c>
      <c r="D6" s="482"/>
      <c r="E6" s="55">
        <v>19</v>
      </c>
      <c r="G6" s="53" t="s">
        <v>121</v>
      </c>
      <c r="H6" s="483" t="s">
        <v>122</v>
      </c>
      <c r="I6" s="484"/>
      <c r="J6" s="484"/>
      <c r="K6" s="485"/>
      <c r="N6" s="56" t="s">
        <v>123</v>
      </c>
    </row>
    <row r="7" spans="1:17" ht="22.35" customHeight="1">
      <c r="C7" s="481" t="s">
        <v>124</v>
      </c>
      <c r="D7" s="482"/>
      <c r="E7" s="55">
        <v>19</v>
      </c>
      <c r="G7" s="57" t="s">
        <v>125</v>
      </c>
      <c r="J7" s="58">
        <v>2023</v>
      </c>
      <c r="K7" s="58">
        <v>2024</v>
      </c>
    </row>
    <row r="8" spans="1:17" ht="18" customHeight="1">
      <c r="E8" s="59"/>
      <c r="G8" s="60"/>
    </row>
    <row r="9" spans="1:17" ht="25.7" customHeight="1">
      <c r="B9" s="493" t="s">
        <v>126</v>
      </c>
      <c r="C9" s="493"/>
      <c r="D9" s="493"/>
      <c r="E9" s="61">
        <f>'Budget détaillé'!J75</f>
        <v>0</v>
      </c>
      <c r="F9" s="494" t="s">
        <v>127</v>
      </c>
      <c r="G9" s="494"/>
      <c r="H9" s="62"/>
      <c r="I9" s="63" t="s">
        <v>128</v>
      </c>
      <c r="J9" s="61">
        <f>'Recettes et simulat'!J28+'Recettes et simulat'!F39-'Budget détaillé'!K62</f>
        <v>193.89570552145597</v>
      </c>
    </row>
    <row r="10" spans="1:17" ht="22.35" customHeight="1">
      <c r="B10" s="493" t="s">
        <v>129</v>
      </c>
      <c r="C10" s="493"/>
      <c r="D10" s="493"/>
      <c r="E10" s="61">
        <f>E9+J9</f>
        <v>193.89570552145597</v>
      </c>
      <c r="F10" s="494"/>
      <c r="G10" s="494"/>
      <c r="H10" s="495" t="s">
        <v>130</v>
      </c>
      <c r="I10" s="496"/>
      <c r="J10" s="61">
        <f>'Budget détaillé'!K63</f>
        <v>8104.7949628672914</v>
      </c>
    </row>
    <row r="11" spans="1:17" ht="16.7" customHeight="1" thickBot="1"/>
    <row r="12" spans="1:17" ht="18.600000000000001" customHeight="1" thickBot="1">
      <c r="B12" s="497" t="s">
        <v>131</v>
      </c>
      <c r="C12" s="498"/>
      <c r="D12" s="498"/>
      <c r="E12" s="498"/>
      <c r="F12" s="498"/>
      <c r="G12" s="498"/>
      <c r="H12" s="498"/>
      <c r="I12" s="498"/>
      <c r="J12" s="498"/>
      <c r="K12" s="498"/>
      <c r="L12" s="498"/>
      <c r="M12" s="499"/>
    </row>
    <row r="13" spans="1:17" ht="13.5" thickBot="1"/>
    <row r="14" spans="1:17" ht="51.75" thickBot="1">
      <c r="B14" s="64" t="s">
        <v>132</v>
      </c>
      <c r="C14" s="65" t="s">
        <v>133</v>
      </c>
      <c r="D14" s="65" t="s">
        <v>13</v>
      </c>
      <c r="E14" s="65" t="s">
        <v>134</v>
      </c>
      <c r="F14" s="65" t="s">
        <v>135</v>
      </c>
      <c r="G14" s="65" t="s">
        <v>0</v>
      </c>
      <c r="H14" s="66" t="s">
        <v>136</v>
      </c>
      <c r="I14" s="65" t="s">
        <v>137</v>
      </c>
      <c r="J14" s="65" t="s">
        <v>138</v>
      </c>
      <c r="K14" s="65" t="s">
        <v>139</v>
      </c>
      <c r="L14" s="500" t="s">
        <v>140</v>
      </c>
      <c r="M14" s="488"/>
      <c r="O14" s="67" t="s">
        <v>141</v>
      </c>
      <c r="P14" s="67">
        <v>250</v>
      </c>
      <c r="Q14" s="67">
        <v>400</v>
      </c>
    </row>
    <row r="15" spans="1:17" ht="20.45" customHeight="1">
      <c r="B15" s="501" t="s">
        <v>142</v>
      </c>
      <c r="C15" s="502"/>
      <c r="D15" s="502"/>
      <c r="E15" s="502"/>
      <c r="F15" s="502"/>
      <c r="G15" s="502"/>
      <c r="H15" s="502"/>
      <c r="I15" s="502"/>
      <c r="J15" s="502"/>
      <c r="K15" s="502"/>
      <c r="L15" s="502"/>
      <c r="M15" s="503"/>
      <c r="O15" s="67" t="s">
        <v>143</v>
      </c>
      <c r="P15" s="67">
        <v>400</v>
      </c>
      <c r="Q15" s="67"/>
    </row>
    <row r="16" spans="1:17" ht="16.7" customHeight="1" thickBot="1">
      <c r="B16" s="504" t="s">
        <v>144</v>
      </c>
      <c r="C16" s="505"/>
      <c r="D16" s="68"/>
      <c r="E16" s="69"/>
      <c r="F16" s="70">
        <f>E6-E7</f>
        <v>0</v>
      </c>
      <c r="G16" s="71">
        <f>E16*F16</f>
        <v>0</v>
      </c>
      <c r="H16" s="72"/>
      <c r="I16" s="73"/>
      <c r="J16" s="73"/>
      <c r="K16" s="74"/>
      <c r="L16" s="73"/>
      <c r="M16" s="75"/>
    </row>
    <row r="17" spans="2:13" ht="21" customHeight="1">
      <c r="B17" s="501" t="s">
        <v>145</v>
      </c>
      <c r="C17" s="502"/>
      <c r="D17" s="502"/>
      <c r="E17" s="502"/>
      <c r="F17" s="502"/>
      <c r="G17" s="502"/>
      <c r="H17" s="502"/>
      <c r="I17" s="502"/>
      <c r="J17" s="502"/>
      <c r="K17" s="502"/>
      <c r="L17" s="502"/>
      <c r="M17" s="503"/>
    </row>
    <row r="18" spans="2:13">
      <c r="B18" s="76" t="s">
        <v>146</v>
      </c>
      <c r="C18" s="77" t="s">
        <v>143</v>
      </c>
      <c r="D18" s="55"/>
      <c r="E18" s="69">
        <v>9000</v>
      </c>
      <c r="F18" s="55">
        <v>14</v>
      </c>
      <c r="G18" s="71">
        <f>E18*F18</f>
        <v>126000</v>
      </c>
      <c r="H18" s="71">
        <f t="shared" ref="H18:H27" si="0">IF(D18=0,0,E18/D18)</f>
        <v>0</v>
      </c>
      <c r="I18" s="78">
        <v>0.05</v>
      </c>
      <c r="J18" s="71">
        <f>G18*(1-I18)</f>
        <v>119700</v>
      </c>
      <c r="K18" s="71">
        <f t="shared" ref="K18:K27" si="1">IF((D18*F18)=0,0,J18/(D18*F18))</f>
        <v>0</v>
      </c>
      <c r="L18" s="491"/>
      <c r="M18" s="492"/>
    </row>
    <row r="19" spans="2:13">
      <c r="B19" s="76" t="s">
        <v>147</v>
      </c>
      <c r="C19" s="77" t="s">
        <v>141</v>
      </c>
      <c r="D19" s="55"/>
      <c r="E19" s="69">
        <v>6900</v>
      </c>
      <c r="F19" s="55">
        <v>1</v>
      </c>
      <c r="G19" s="71">
        <f t="shared" ref="G19:G27" si="2">E19*F19</f>
        <v>6900</v>
      </c>
      <c r="H19" s="71">
        <f t="shared" si="0"/>
        <v>0</v>
      </c>
      <c r="I19" s="78">
        <v>0.05</v>
      </c>
      <c r="J19" s="71">
        <f t="shared" ref="J19:J27" si="3">G19*(1-I19)</f>
        <v>6555</v>
      </c>
      <c r="K19" s="71">
        <f t="shared" si="1"/>
        <v>0</v>
      </c>
      <c r="L19" s="491"/>
      <c r="M19" s="492"/>
    </row>
    <row r="20" spans="2:13">
      <c r="B20" s="76" t="s">
        <v>148</v>
      </c>
      <c r="C20" s="77" t="s">
        <v>149</v>
      </c>
      <c r="D20" s="55"/>
      <c r="E20" s="69">
        <v>6900</v>
      </c>
      <c r="F20" s="55">
        <v>1</v>
      </c>
      <c r="G20" s="71">
        <f t="shared" si="2"/>
        <v>6900</v>
      </c>
      <c r="H20" s="71">
        <f t="shared" si="0"/>
        <v>0</v>
      </c>
      <c r="I20" s="78">
        <v>0.05</v>
      </c>
      <c r="J20" s="71">
        <f t="shared" si="3"/>
        <v>6555</v>
      </c>
      <c r="K20" s="71">
        <f t="shared" si="1"/>
        <v>0</v>
      </c>
      <c r="L20" s="491"/>
      <c r="M20" s="492"/>
    </row>
    <row r="21" spans="2:13">
      <c r="B21" s="76" t="s">
        <v>150</v>
      </c>
      <c r="C21" s="77" t="s">
        <v>143</v>
      </c>
      <c r="D21" s="55"/>
      <c r="E21" s="69">
        <v>7500</v>
      </c>
      <c r="F21" s="55">
        <v>3</v>
      </c>
      <c r="G21" s="71">
        <f t="shared" si="2"/>
        <v>22500</v>
      </c>
      <c r="H21" s="71">
        <f t="shared" si="0"/>
        <v>0</v>
      </c>
      <c r="I21" s="78">
        <v>0.05</v>
      </c>
      <c r="J21" s="71">
        <f t="shared" si="3"/>
        <v>21375</v>
      </c>
      <c r="K21" s="71">
        <f t="shared" si="1"/>
        <v>0</v>
      </c>
      <c r="L21" s="491"/>
      <c r="M21" s="492"/>
    </row>
    <row r="22" spans="2:13">
      <c r="B22" s="76" t="s">
        <v>151</v>
      </c>
      <c r="C22" s="77"/>
      <c r="D22" s="55"/>
      <c r="E22" s="69"/>
      <c r="F22" s="55"/>
      <c r="G22" s="71">
        <f t="shared" si="2"/>
        <v>0</v>
      </c>
      <c r="H22" s="71">
        <f t="shared" si="0"/>
        <v>0</v>
      </c>
      <c r="I22" s="78"/>
      <c r="J22" s="71">
        <f t="shared" si="3"/>
        <v>0</v>
      </c>
      <c r="K22" s="71">
        <f t="shared" si="1"/>
        <v>0</v>
      </c>
      <c r="L22" s="491"/>
      <c r="M22" s="492"/>
    </row>
    <row r="23" spans="2:13">
      <c r="B23" s="76" t="s">
        <v>152</v>
      </c>
      <c r="C23" s="77"/>
      <c r="D23" s="55"/>
      <c r="E23" s="69"/>
      <c r="F23" s="55"/>
      <c r="G23" s="71">
        <f t="shared" si="2"/>
        <v>0</v>
      </c>
      <c r="H23" s="71">
        <f t="shared" si="0"/>
        <v>0</v>
      </c>
      <c r="I23" s="78"/>
      <c r="J23" s="71">
        <f t="shared" si="3"/>
        <v>0</v>
      </c>
      <c r="K23" s="71">
        <f t="shared" si="1"/>
        <v>0</v>
      </c>
      <c r="L23" s="491"/>
      <c r="M23" s="492"/>
    </row>
    <row r="24" spans="2:13">
      <c r="B24" s="76" t="s">
        <v>153</v>
      </c>
      <c r="C24" s="77"/>
      <c r="D24" s="55"/>
      <c r="E24" s="69"/>
      <c r="F24" s="55"/>
      <c r="G24" s="71">
        <f t="shared" si="2"/>
        <v>0</v>
      </c>
      <c r="H24" s="71">
        <f t="shared" si="0"/>
        <v>0</v>
      </c>
      <c r="I24" s="78"/>
      <c r="J24" s="71">
        <f t="shared" si="3"/>
        <v>0</v>
      </c>
      <c r="K24" s="71">
        <f t="shared" si="1"/>
        <v>0</v>
      </c>
      <c r="L24" s="491"/>
      <c r="M24" s="492"/>
    </row>
    <row r="25" spans="2:13">
      <c r="B25" s="76" t="s">
        <v>154</v>
      </c>
      <c r="C25" s="77"/>
      <c r="D25" s="55"/>
      <c r="E25" s="69"/>
      <c r="F25" s="55"/>
      <c r="G25" s="71">
        <f t="shared" si="2"/>
        <v>0</v>
      </c>
      <c r="H25" s="71">
        <f t="shared" si="0"/>
        <v>0</v>
      </c>
      <c r="I25" s="78"/>
      <c r="J25" s="71">
        <f t="shared" si="3"/>
        <v>0</v>
      </c>
      <c r="K25" s="71">
        <f t="shared" si="1"/>
        <v>0</v>
      </c>
      <c r="L25" s="491"/>
      <c r="M25" s="492"/>
    </row>
    <row r="26" spans="2:13">
      <c r="B26" s="76" t="s">
        <v>155</v>
      </c>
      <c r="C26" s="77"/>
      <c r="D26" s="55"/>
      <c r="E26" s="69"/>
      <c r="F26" s="55"/>
      <c r="G26" s="71">
        <f t="shared" si="2"/>
        <v>0</v>
      </c>
      <c r="H26" s="71">
        <f t="shared" si="0"/>
        <v>0</v>
      </c>
      <c r="I26" s="78"/>
      <c r="J26" s="71">
        <f t="shared" si="3"/>
        <v>0</v>
      </c>
      <c r="K26" s="71">
        <f t="shared" si="1"/>
        <v>0</v>
      </c>
      <c r="L26" s="491"/>
      <c r="M26" s="492"/>
    </row>
    <row r="27" spans="2:13">
      <c r="B27" s="79" t="s">
        <v>156</v>
      </c>
      <c r="C27" s="80"/>
      <c r="D27" s="55"/>
      <c r="E27" s="81"/>
      <c r="F27" s="55"/>
      <c r="G27" s="71">
        <f t="shared" si="2"/>
        <v>0</v>
      </c>
      <c r="H27" s="71">
        <f t="shared" si="0"/>
        <v>0</v>
      </c>
      <c r="I27" s="78"/>
      <c r="J27" s="71">
        <f t="shared" si="3"/>
        <v>0</v>
      </c>
      <c r="K27" s="71">
        <f t="shared" si="1"/>
        <v>0</v>
      </c>
      <c r="L27" s="491"/>
      <c r="M27" s="492"/>
    </row>
    <row r="28" spans="2:13" ht="13.5" thickBot="1">
      <c r="B28" s="511" t="s">
        <v>157</v>
      </c>
      <c r="C28" s="512"/>
      <c r="D28" s="82"/>
      <c r="E28" s="83"/>
      <c r="F28" s="82">
        <f>SUM(F18:F27)</f>
        <v>19</v>
      </c>
      <c r="G28" s="84">
        <f>SUM(G18:G27)</f>
        <v>162300</v>
      </c>
      <c r="H28" s="85">
        <f>IF(SUMPRODUCT(F18:F27,D18:D27)=0,0,G28/SUMPRODUCT(F18:F27,D18:D27))</f>
        <v>0</v>
      </c>
      <c r="I28" s="82"/>
      <c r="J28" s="84">
        <f>SUM(J18:J27)</f>
        <v>154185</v>
      </c>
      <c r="K28" s="84">
        <f>IF(D28=0,0,IF(SUMPRODUCT(F18:F27,D18:D27)=0,0,J28/SUMPRODUCT(F18:F27,D18:D27)))</f>
        <v>0</v>
      </c>
      <c r="L28" s="513"/>
      <c r="M28" s="514"/>
    </row>
    <row r="29" spans="2:13">
      <c r="B29" s="57"/>
      <c r="C29" s="57"/>
      <c r="D29" s="54"/>
      <c r="E29" s="60"/>
      <c r="F29" s="54"/>
      <c r="G29" s="86"/>
      <c r="H29" s="86"/>
      <c r="I29" s="60"/>
      <c r="J29" s="86"/>
      <c r="K29" s="86"/>
      <c r="L29" s="86"/>
      <c r="M29" s="60"/>
    </row>
    <row r="30" spans="2:13" ht="13.5" thickBot="1"/>
    <row r="31" spans="2:13" ht="18.600000000000001" customHeight="1" thickBot="1">
      <c r="B31" s="497" t="s">
        <v>158</v>
      </c>
      <c r="C31" s="498"/>
      <c r="D31" s="498"/>
      <c r="E31" s="498"/>
      <c r="F31" s="498"/>
      <c r="G31" s="498"/>
      <c r="H31" s="498"/>
      <c r="I31" s="498"/>
      <c r="J31" s="498"/>
      <c r="K31" s="498"/>
      <c r="L31" s="498"/>
      <c r="M31" s="499"/>
    </row>
    <row r="32" spans="2:13" ht="13.5" thickBot="1"/>
    <row r="33" spans="2:13" ht="21" customHeight="1">
      <c r="B33" s="506" t="s">
        <v>159</v>
      </c>
      <c r="C33" s="507"/>
      <c r="D33" s="508"/>
      <c r="E33" s="87" t="s">
        <v>160</v>
      </c>
      <c r="F33" s="87" t="s">
        <v>161</v>
      </c>
      <c r="G33" s="509" t="s">
        <v>162</v>
      </c>
      <c r="H33" s="507"/>
      <c r="I33" s="507"/>
      <c r="J33" s="507"/>
      <c r="K33" s="510"/>
    </row>
    <row r="34" spans="2:13">
      <c r="B34" s="515"/>
      <c r="C34" s="516"/>
      <c r="D34" s="516"/>
      <c r="E34" s="77"/>
      <c r="F34" s="69"/>
      <c r="G34" s="517"/>
      <c r="H34" s="517"/>
      <c r="I34" s="517"/>
      <c r="J34" s="517"/>
      <c r="K34" s="518"/>
    </row>
    <row r="35" spans="2:13">
      <c r="B35" s="515"/>
      <c r="C35" s="516"/>
      <c r="D35" s="516"/>
      <c r="E35" s="77"/>
      <c r="F35" s="69"/>
      <c r="G35" s="517"/>
      <c r="H35" s="517"/>
      <c r="I35" s="517"/>
      <c r="J35" s="517"/>
      <c r="K35" s="518"/>
    </row>
    <row r="36" spans="2:13">
      <c r="B36" s="515"/>
      <c r="C36" s="516"/>
      <c r="D36" s="516"/>
      <c r="E36" s="77"/>
      <c r="F36" s="69"/>
      <c r="G36" s="517"/>
      <c r="H36" s="517"/>
      <c r="I36" s="517"/>
      <c r="J36" s="517"/>
      <c r="K36" s="518"/>
    </row>
    <row r="37" spans="2:13">
      <c r="B37" s="519"/>
      <c r="C37" s="520"/>
      <c r="D37" s="520"/>
      <c r="E37" s="77"/>
      <c r="F37" s="69"/>
      <c r="G37" s="517"/>
      <c r="H37" s="517"/>
      <c r="I37" s="517"/>
      <c r="J37" s="517"/>
      <c r="K37" s="518"/>
    </row>
    <row r="38" spans="2:13">
      <c r="B38" s="519"/>
      <c r="C38" s="520"/>
      <c r="D38" s="520"/>
      <c r="E38" s="77"/>
      <c r="F38" s="69"/>
      <c r="G38" s="517"/>
      <c r="H38" s="517"/>
      <c r="I38" s="517"/>
      <c r="J38" s="517"/>
      <c r="K38" s="518"/>
    </row>
    <row r="39" spans="2:13" ht="13.5" thickBot="1">
      <c r="B39" s="521" t="s">
        <v>163</v>
      </c>
      <c r="C39" s="522"/>
      <c r="D39" s="522"/>
      <c r="E39" s="522"/>
      <c r="F39" s="88">
        <f>SUM(F34:F38)</f>
        <v>0</v>
      </c>
      <c r="G39" s="523"/>
      <c r="H39" s="524"/>
      <c r="I39" s="524"/>
      <c r="J39" s="524"/>
      <c r="K39" s="525"/>
      <c r="L39" s="60"/>
      <c r="M39" s="60"/>
    </row>
    <row r="40" spans="2:13">
      <c r="F40" s="49"/>
    </row>
    <row r="41" spans="2:13" ht="32.450000000000003" customHeight="1"/>
  </sheetData>
  <sheetProtection algorithmName="SHA-512" hashValue="mpYeVpzhHdjbN2bySlBhCi0uL/ynUboE8a1aXOVxtqQiBA1CYKtHBVf1cPxDO7jEk448LQgTqhs/VC7EBlvVCA==" saltValue="tWe2BgnjW2b0o/M0vr203A==" spinCount="100000" sheet="1" formatCells="0" formatColumns="0" formatRows="0" autoFilter="0"/>
  <mergeCells count="44">
    <mergeCell ref="B37:D37"/>
    <mergeCell ref="G37:K37"/>
    <mergeCell ref="B38:D38"/>
    <mergeCell ref="G38:K38"/>
    <mergeCell ref="B39:E39"/>
    <mergeCell ref="G39:K39"/>
    <mergeCell ref="B34:D34"/>
    <mergeCell ref="G34:K34"/>
    <mergeCell ref="B35:D35"/>
    <mergeCell ref="G35:K35"/>
    <mergeCell ref="B36:D36"/>
    <mergeCell ref="G36:K36"/>
    <mergeCell ref="B33:D33"/>
    <mergeCell ref="G33:K33"/>
    <mergeCell ref="L20:M20"/>
    <mergeCell ref="L21:M21"/>
    <mergeCell ref="L22:M22"/>
    <mergeCell ref="L23:M23"/>
    <mergeCell ref="L24:M24"/>
    <mergeCell ref="L25:M25"/>
    <mergeCell ref="L26:M26"/>
    <mergeCell ref="L27:M27"/>
    <mergeCell ref="B28:C28"/>
    <mergeCell ref="L28:M28"/>
    <mergeCell ref="B31:M31"/>
    <mergeCell ref="L19:M19"/>
    <mergeCell ref="C7:D7"/>
    <mergeCell ref="B9:D9"/>
    <mergeCell ref="F9:G10"/>
    <mergeCell ref="H10:I10"/>
    <mergeCell ref="B10:D10"/>
    <mergeCell ref="B12:M12"/>
    <mergeCell ref="L14:M14"/>
    <mergeCell ref="B15:M15"/>
    <mergeCell ref="B16:C16"/>
    <mergeCell ref="B17:M17"/>
    <mergeCell ref="L18:M18"/>
    <mergeCell ref="C6:D6"/>
    <mergeCell ref="H6:K6"/>
    <mergeCell ref="B2:M2"/>
    <mergeCell ref="D4:E4"/>
    <mergeCell ref="H4:K4"/>
    <mergeCell ref="D5:E5"/>
    <mergeCell ref="H5:K5"/>
  </mergeCells>
  <conditionalFormatting sqref="J9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E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18:D27">
    <cfRule type="expression" dxfId="4" priority="3" stopIfTrue="1">
      <formula>AND(C18=$O$15,D18&lt;$P$15)</formula>
    </cfRule>
    <cfRule type="expression" dxfId="3" priority="4" stopIfTrue="1">
      <formula>AND(C18=$O$14,D18&gt;$Q$14)</formula>
    </cfRule>
    <cfRule type="expression" dxfId="2" priority="5" stopIfTrue="1">
      <formula>AND(C18=$O$14,D18&lt;$P$14)</formula>
    </cfRule>
  </conditionalFormatting>
  <conditionalFormatting sqref="E10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3">
    <dataValidation type="list" allowBlank="1" showInputMessage="1" showErrorMessage="1" sqref="C18:C27" xr:uid="{00000000-0002-0000-0100-000000000000}">
      <formula1>"Formation continue,Contrat d'apprentissage,Contrat de professionnalisation"</formula1>
    </dataValidation>
    <dataValidation type="list" allowBlank="1" showInputMessage="1" showErrorMessage="1" sqref="H4:K4" xr:uid="{00000000-0002-0000-0100-000001000000}">
      <formula1>"Licence Professionnelle,Licence,Master,Diplôme Universitaire Technologique,Diplôme Universitaire,Formation courte"</formula1>
    </dataValidation>
    <dataValidation type="list" allowBlank="1" showInputMessage="1" showErrorMessage="1" sqref="E34:E38" xr:uid="{00000000-0002-0000-0100-000002000000}">
      <formula1>"Région, Ministère,partenaire"</formula1>
    </dataValidation>
  </dataValidations>
  <pageMargins left="0.7" right="0.7" top="0.75" bottom="0.75" header="0.3" footer="0.3"/>
  <pageSetup paperSize="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Paramétrage!$H$6:$H$17</xm:f>
          </x14:formula1>
          <xm:sqref>H6:K6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77"/>
  <sheetViews>
    <sheetView showGridLines="0" showZeros="0" tabSelected="1" zoomScale="85" zoomScaleNormal="85" zoomScaleSheetLayoutView="70" workbookViewId="0">
      <pane ySplit="9" topLeftCell="A10" activePane="bottomLeft" state="frozen"/>
      <selection pane="bottomLeft" activeCell="J44" sqref="J44"/>
    </sheetView>
  </sheetViews>
  <sheetFormatPr defaultColWidth="11.42578125" defaultRowHeight="12.75" outlineLevelRow="2" outlineLevelCol="1"/>
  <cols>
    <col min="1" max="1" width="1.140625" customWidth="1"/>
    <col min="2" max="2" width="5.7109375" customWidth="1"/>
    <col min="3" max="3" width="14.7109375" customWidth="1"/>
    <col min="4" max="4" width="16.42578125" customWidth="1"/>
    <col min="5" max="5" width="14.7109375" customWidth="1"/>
    <col min="6" max="6" width="4.7109375" customWidth="1"/>
    <col min="7" max="7" width="10.85546875" customWidth="1"/>
    <col min="8" max="11" width="11" customWidth="1"/>
    <col min="12" max="16" width="11" hidden="1" customWidth="1" outlineLevel="1"/>
    <col min="17" max="17" width="9.28515625" customWidth="1" collapsed="1"/>
    <col min="18" max="18" width="6.85546875" customWidth="1"/>
    <col min="19" max="19" width="6.140625" customWidth="1"/>
    <col min="20" max="20" width="11.28515625" bestFit="1" customWidth="1"/>
    <col min="21" max="21" width="24.42578125" bestFit="1" customWidth="1"/>
  </cols>
  <sheetData>
    <row r="1" spans="1:22" ht="7.35" customHeight="1" thickBot="1">
      <c r="A1" s="52"/>
      <c r="B1" s="52"/>
      <c r="C1" s="52"/>
      <c r="D1" s="52"/>
      <c r="E1" s="52"/>
      <c r="F1" s="52"/>
      <c r="G1" s="52"/>
      <c r="H1" s="89"/>
      <c r="I1" s="90"/>
      <c r="J1" s="91"/>
      <c r="K1" s="89"/>
      <c r="L1" s="89"/>
      <c r="M1" s="89"/>
      <c r="N1" s="89"/>
      <c r="O1" s="89"/>
      <c r="P1" s="89"/>
      <c r="Q1" s="48"/>
      <c r="R1" s="48"/>
      <c r="S1" s="52"/>
      <c r="T1" s="52"/>
      <c r="U1" s="52"/>
      <c r="V1" s="52"/>
    </row>
    <row r="2" spans="1:22" ht="28.35" customHeight="1" thickBot="1">
      <c r="A2" s="52"/>
      <c r="B2" s="486" t="s">
        <v>164</v>
      </c>
      <c r="C2" s="487"/>
      <c r="D2" s="487"/>
      <c r="E2" s="487"/>
      <c r="F2" s="487"/>
      <c r="G2" s="487"/>
      <c r="H2" s="487"/>
      <c r="I2" s="487"/>
      <c r="J2" s="487"/>
      <c r="K2" s="488"/>
      <c r="L2" s="486" t="s">
        <v>165</v>
      </c>
      <c r="M2" s="487"/>
      <c r="N2" s="487"/>
      <c r="O2" s="487"/>
      <c r="P2" s="488"/>
      <c r="Q2" s="48"/>
      <c r="R2" s="48"/>
      <c r="S2" s="52"/>
      <c r="T2" s="52"/>
      <c r="U2" s="52"/>
      <c r="V2" s="52"/>
    </row>
    <row r="3" spans="1:22" ht="6.75" customHeight="1">
      <c r="A3" s="5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48"/>
      <c r="R3" s="48"/>
      <c r="S3" s="52"/>
      <c r="T3" s="52"/>
      <c r="U3" s="52"/>
      <c r="V3" s="52"/>
    </row>
    <row r="4" spans="1:22" ht="5.25" customHeight="1">
      <c r="A4" s="52"/>
      <c r="B4" s="52"/>
      <c r="C4" s="52"/>
      <c r="D4" s="52"/>
      <c r="E4" s="52"/>
      <c r="F4" s="89"/>
      <c r="G4" s="89"/>
      <c r="H4" s="89"/>
      <c r="I4" s="89"/>
      <c r="J4" s="91"/>
      <c r="K4" s="89"/>
      <c r="L4" s="89"/>
      <c r="M4" s="89"/>
      <c r="N4" s="89"/>
      <c r="O4" s="89"/>
      <c r="P4" s="89"/>
      <c r="Q4" s="48"/>
      <c r="R4" s="48"/>
      <c r="S4" s="52"/>
      <c r="T4" s="52"/>
      <c r="U4" s="52"/>
      <c r="V4" s="52"/>
    </row>
    <row r="5" spans="1:22" ht="22.35" customHeight="1">
      <c r="A5" s="52"/>
      <c r="B5" s="52"/>
      <c r="C5" s="93" t="s">
        <v>113</v>
      </c>
      <c r="D5" s="526" t="str">
        <f>'Recettes et simulat'!D4</f>
        <v>Université Lumière Lyon 2</v>
      </c>
      <c r="E5" s="527"/>
      <c r="F5" s="52"/>
      <c r="G5" s="93" t="s">
        <v>115</v>
      </c>
      <c r="H5" s="526" t="str">
        <f>'Recettes et simulat'!H4</f>
        <v>Master</v>
      </c>
      <c r="I5" s="528"/>
      <c r="J5" s="528"/>
      <c r="K5" s="527"/>
      <c r="L5" s="89"/>
      <c r="M5" s="89"/>
      <c r="N5" s="89"/>
      <c r="O5" s="89"/>
      <c r="P5" s="89"/>
      <c r="Q5" s="48"/>
      <c r="R5" s="48"/>
      <c r="S5" s="52"/>
      <c r="T5" s="52"/>
      <c r="U5" s="56" t="s">
        <v>123</v>
      </c>
      <c r="V5" s="52"/>
    </row>
    <row r="6" spans="1:22" ht="22.35" customHeight="1">
      <c r="A6" s="52"/>
      <c r="B6" s="52"/>
      <c r="C6" s="92" t="s">
        <v>117</v>
      </c>
      <c r="D6" s="526">
        <f>'Recettes et simulat'!D5</f>
        <v>31470</v>
      </c>
      <c r="E6" s="527"/>
      <c r="F6" s="52"/>
      <c r="G6" s="93" t="s">
        <v>166</v>
      </c>
      <c r="H6" s="526" t="str">
        <f>'Recettes et simulat'!H5</f>
        <v>Urbanisme et Aménagement
Développement urbain et territorial en Alternance</v>
      </c>
      <c r="I6" s="528"/>
      <c r="J6" s="528"/>
      <c r="K6" s="527"/>
      <c r="L6" s="89"/>
      <c r="M6" s="89"/>
      <c r="N6" s="89"/>
      <c r="O6" s="89"/>
      <c r="P6" s="89"/>
      <c r="Q6" s="48"/>
      <c r="R6" s="48"/>
      <c r="S6" s="52"/>
      <c r="T6" s="52"/>
      <c r="U6" s="52"/>
      <c r="V6" s="52"/>
    </row>
    <row r="7" spans="1:22" ht="22.35" customHeight="1">
      <c r="A7" s="52"/>
      <c r="B7" s="52"/>
      <c r="C7" s="94" t="s">
        <v>120</v>
      </c>
      <c r="D7" s="95"/>
      <c r="E7" s="96">
        <f>'Recettes et simulat'!E6</f>
        <v>19</v>
      </c>
      <c r="F7" s="52"/>
      <c r="G7" s="93" t="s">
        <v>121</v>
      </c>
      <c r="H7" s="526" t="str">
        <f>'Recettes et simulat'!H6</f>
        <v>TT - Temps et Territoires</v>
      </c>
      <c r="I7" s="528"/>
      <c r="J7" s="528"/>
      <c r="K7" s="527"/>
      <c r="L7" s="89"/>
      <c r="M7" s="89"/>
      <c r="N7" s="89"/>
      <c r="O7" s="89"/>
      <c r="P7" s="89"/>
      <c r="Q7" s="48"/>
      <c r="R7" s="48"/>
      <c r="S7" s="52"/>
      <c r="T7" s="52"/>
      <c r="U7" s="52"/>
      <c r="V7" s="52"/>
    </row>
    <row r="8" spans="1:22" ht="22.35" customHeight="1">
      <c r="A8" s="52"/>
      <c r="B8" s="52"/>
      <c r="C8" s="94" t="s">
        <v>124</v>
      </c>
      <c r="D8" s="95"/>
      <c r="E8" s="96">
        <f>'Recettes et simulat'!E7</f>
        <v>19</v>
      </c>
      <c r="F8" s="52"/>
      <c r="G8" s="57" t="s">
        <v>125</v>
      </c>
      <c r="H8" s="52"/>
      <c r="I8" s="52"/>
      <c r="J8" s="97">
        <f>'Recettes et simulat'!J7</f>
        <v>2023</v>
      </c>
      <c r="K8" s="97">
        <f>'Recettes et simulat'!K7</f>
        <v>2024</v>
      </c>
      <c r="L8" s="52"/>
      <c r="M8" s="52"/>
      <c r="N8" s="52"/>
      <c r="O8" s="52"/>
      <c r="P8" s="52"/>
      <c r="Q8" s="48"/>
      <c r="R8" s="48"/>
      <c r="S8" s="52"/>
      <c r="T8" s="52"/>
      <c r="U8" s="52"/>
      <c r="V8" s="52"/>
    </row>
    <row r="9" spans="1:22" ht="22.35" customHeight="1">
      <c r="A9" s="52"/>
      <c r="B9" s="52"/>
      <c r="C9" s="52"/>
      <c r="D9" s="52"/>
      <c r="E9" s="52"/>
      <c r="F9" s="52"/>
      <c r="G9" s="98"/>
      <c r="H9" s="52"/>
      <c r="I9" s="52"/>
      <c r="J9" s="52"/>
      <c r="K9" s="52"/>
      <c r="L9" s="52"/>
      <c r="M9" s="52"/>
      <c r="N9" s="52"/>
      <c r="O9" s="52"/>
      <c r="P9" s="52"/>
      <c r="Q9" s="48"/>
      <c r="R9" s="48"/>
      <c r="S9" s="52"/>
      <c r="T9" s="52"/>
      <c r="U9" s="99"/>
      <c r="V9" s="99"/>
    </row>
    <row r="10" spans="1:22" s="100" customFormat="1" ht="17.100000000000001" customHeight="1" thickBot="1">
      <c r="C10" s="101"/>
      <c r="D10" s="101"/>
      <c r="E10" s="101"/>
      <c r="F10" s="101"/>
      <c r="G10" s="102"/>
      <c r="H10" s="102"/>
      <c r="I10" s="103"/>
      <c r="Q10" s="48"/>
      <c r="R10" s="104"/>
      <c r="S10" s="52"/>
      <c r="T10" s="99"/>
      <c r="U10" s="48"/>
      <c r="V10" s="52"/>
    </row>
    <row r="11" spans="1:22" ht="24.6" customHeight="1" thickBot="1">
      <c r="A11" s="52"/>
      <c r="B11" s="486" t="s">
        <v>167</v>
      </c>
      <c r="C11" s="487"/>
      <c r="D11" s="487"/>
      <c r="E11" s="487"/>
      <c r="F11" s="487"/>
      <c r="G11" s="487"/>
      <c r="H11" s="487"/>
      <c r="I11" s="487"/>
      <c r="J11" s="487"/>
      <c r="K11" s="488"/>
      <c r="L11" s="105"/>
      <c r="M11" s="106"/>
      <c r="N11" s="106"/>
      <c r="O11" s="106"/>
      <c r="P11" s="107"/>
      <c r="Q11" s="48"/>
      <c r="R11" s="48"/>
      <c r="S11" s="52"/>
      <c r="T11" s="48"/>
      <c r="U11" s="48"/>
      <c r="V11" s="48"/>
    </row>
    <row r="12" spans="1:22" s="48" customFormat="1" ht="12.6" customHeight="1" thickBot="1">
      <c r="B12" s="108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10"/>
      <c r="V12" s="52"/>
    </row>
    <row r="13" spans="1:22" s="52" customFormat="1" ht="64.5" thickBot="1">
      <c r="B13" s="111" t="s">
        <v>168</v>
      </c>
      <c r="C13" s="532" t="s">
        <v>169</v>
      </c>
      <c r="D13" s="533"/>
      <c r="E13" s="533"/>
      <c r="F13" s="534"/>
      <c r="G13" s="112" t="s">
        <v>170</v>
      </c>
      <c r="H13" s="113" t="s">
        <v>171</v>
      </c>
      <c r="I13" s="113" t="s">
        <v>172</v>
      </c>
      <c r="J13" s="114" t="s">
        <v>173</v>
      </c>
      <c r="K13" s="115" t="s">
        <v>174</v>
      </c>
      <c r="L13" s="116" t="s">
        <v>175</v>
      </c>
      <c r="M13" s="117" t="s">
        <v>176</v>
      </c>
      <c r="N13" s="117" t="s">
        <v>177</v>
      </c>
      <c r="O13" s="118" t="s">
        <v>178</v>
      </c>
      <c r="P13" s="119" t="s">
        <v>0</v>
      </c>
      <c r="Q13" s="120"/>
      <c r="R13" s="121"/>
      <c r="T13" s="48"/>
      <c r="U13" s="48"/>
      <c r="V13" s="100"/>
    </row>
    <row r="14" spans="1:22" s="100" customFormat="1" ht="21.6" customHeight="1" thickBot="1">
      <c r="B14" s="122" t="s">
        <v>179</v>
      </c>
      <c r="C14" s="123"/>
      <c r="D14" s="124"/>
      <c r="E14" s="124"/>
      <c r="F14" s="124"/>
      <c r="G14" s="125">
        <f>G20+G27+G32</f>
        <v>699</v>
      </c>
      <c r="H14" s="126">
        <f>IF(G20+G27+G32=0,0,(I20+I27+I32)/(G20+G27+G32))</f>
        <v>153.00587166592064</v>
      </c>
      <c r="I14" s="127">
        <f>I20+I32+I27</f>
        <v>106951.10429447853</v>
      </c>
      <c r="J14" s="128">
        <f>J20+J32+J27</f>
        <v>0</v>
      </c>
      <c r="K14" s="129">
        <f>K20+K32+K27</f>
        <v>106951.10429447853</v>
      </c>
      <c r="L14" s="130">
        <f>L20+L32+L27</f>
        <v>0</v>
      </c>
      <c r="M14" s="126">
        <f>M20+M32+M27</f>
        <v>0</v>
      </c>
      <c r="N14" s="127">
        <f t="shared" ref="N14:O14" si="0">N20+N32+N27</f>
        <v>0</v>
      </c>
      <c r="O14" s="126">
        <f t="shared" si="0"/>
        <v>0</v>
      </c>
      <c r="P14" s="129">
        <f>P20+P32+P27</f>
        <v>0</v>
      </c>
      <c r="Q14" s="131">
        <f>IF($K$72=0,0,K14/$K$72)</f>
        <v>0.69365440408910417</v>
      </c>
      <c r="R14" s="132" t="s">
        <v>180</v>
      </c>
      <c r="S14" s="52"/>
      <c r="T14" s="48"/>
      <c r="U14" s="48"/>
      <c r="V14" s="52"/>
    </row>
    <row r="15" spans="1:22" s="52" customFormat="1" ht="17.100000000000001" customHeight="1" outlineLevel="1">
      <c r="B15" s="133" t="s">
        <v>181</v>
      </c>
      <c r="C15" s="134" t="s">
        <v>182</v>
      </c>
      <c r="D15" s="135"/>
      <c r="E15" s="135"/>
      <c r="F15" s="136"/>
      <c r="G15" s="137"/>
      <c r="H15" s="138"/>
      <c r="I15" s="137"/>
      <c r="J15" s="137"/>
      <c r="K15" s="139"/>
      <c r="L15" s="140"/>
      <c r="M15" s="138"/>
      <c r="N15" s="138"/>
      <c r="O15" s="138"/>
      <c r="P15" s="139"/>
      <c r="Q15" s="141"/>
      <c r="R15" s="142"/>
      <c r="S15" s="142"/>
      <c r="T15" s="142"/>
      <c r="U15" s="67"/>
      <c r="V15" s="100"/>
    </row>
    <row r="16" spans="1:22" s="100" customFormat="1" ht="17.100000000000001" customHeight="1" outlineLevel="1">
      <c r="B16" s="143" t="s">
        <v>183</v>
      </c>
      <c r="C16" s="529" t="s">
        <v>23</v>
      </c>
      <c r="D16" s="530"/>
      <c r="E16" s="530"/>
      <c r="F16" s="531"/>
      <c r="G16" s="96">
        <f>SUMIF(Enseignements!$G$8:$G$89,Paramétrage!$D$6,Enseignements!U$8:U$89)*Paramétrage!$F$6+SUMIF(Enseignements!$G$8:$G$89,Paramétrage!$D$7,Enseignements!U$8:U$89)*Paramétrage!$F$7+SUMIF(Enseignements!$G$8:$G$89,Paramétrage!$D$8,Enseignements!U$8:U$89)*Paramétrage!$F$8+SUMIF(Enseignements!$G$8:$G$89,Paramétrage!$D$10,Enseignements!U$8:U$89)*Paramétrage!$F$10+SUMIF(Enseignements!$G$8:$G$89,Paramétrage!$D$11,Enseignements!U$8:U$89)*Paramétrage!$F$11+SUMIF(Enseignements!$G$8:$G$89,Paramétrage!$D$13,Enseignements!U$8:U$89)*Paramétrage!$F$13+SUMIF(Enseignements!$G$8:$G$89,Paramétrage!$D$14,Enseignements!U$8:U$89)*Paramétrage!$F$14+SUMIF(Enseignements!$G$8:$G$89,Paramétrage!$D$16,Enseignements!U$8:U$89)*Paramétrage!$F$16+SUMIF(Enseignements!$G$8:$G$89,Paramétrage!$D$17,Enseignements!U$8:U$89)*Paramétrage!$F$17+SUMIF(Enseignements!$G$8:$G$89,Paramétrage!$D$19,Enseignements!U$8:U$89)*Paramétrage!$F$19+SUMIF(Enseignements!$G$8:$G$89,Paramétrage!$D$20,Enseignements!U$8:U$89)*Paramétrage!$F$20+SUMIF(Enseignements!$G$8:$G$89,Paramétrage!$D$21,Enseignements!U$8:U$89)*Paramétrage!$F$21+SUMIF(Enseignements!$G$8:$G$89,Paramétrage!$D$23,Enseignements!U$8:U$89)*Paramétrage!$F$23+SUMIF(Enseignements!$G$8:$G$89,Paramétrage!$D$24,Enseignements!U$8:U$89)*Paramétrage!$F$24+SUMIF(Enseignements!$G$8:$G$89,Paramétrage!$D$26,Enseignements!U$8:U$89)*Paramétrage!$F$26+SUMIF(Enseignements!$G$8:$G$89,Paramétrage!$D$27,Enseignements!U$8:U$89)*Paramétrage!$F$27</f>
        <v>218</v>
      </c>
      <c r="H16" s="145">
        <v>218</v>
      </c>
      <c r="I16" s="146">
        <f>H16*G16</f>
        <v>47524</v>
      </c>
      <c r="J16" s="146">
        <f>I16-K16</f>
        <v>0</v>
      </c>
      <c r="K16" s="147">
        <f>IF($E$7=0,0,I16/$E$7*$E$8)</f>
        <v>47524</v>
      </c>
      <c r="L16" s="148"/>
      <c r="M16" s="58"/>
      <c r="N16" s="58"/>
      <c r="O16" s="58"/>
      <c r="P16" s="149">
        <f>SUM(L16:O16)</f>
        <v>0</v>
      </c>
      <c r="Q16" s="150">
        <f>IF($I16=0,0,$G16*$J16/$I16)</f>
        <v>0</v>
      </c>
      <c r="R16" s="150"/>
      <c r="S16" s="150"/>
      <c r="T16" s="150"/>
      <c r="U16" s="150"/>
      <c r="V16" s="151"/>
    </row>
    <row r="17" spans="2:23" s="100" customFormat="1" ht="17.100000000000001" customHeight="1" outlineLevel="1">
      <c r="B17" s="143" t="s">
        <v>184</v>
      </c>
      <c r="C17" s="529" t="s">
        <v>24</v>
      </c>
      <c r="D17" s="530"/>
      <c r="E17" s="530"/>
      <c r="F17" s="531"/>
      <c r="G17" s="96">
        <f>SUMIF(Enseignements!$G$8:$G$89,Paramétrage!$D$6,Enseignements!V$8:V$89)*Paramétrage!$F$6+SUMIF(Enseignements!$G$8:$G$89,Paramétrage!$D$7,Enseignements!V$8:V$89)*Paramétrage!$F$7+SUMIF(Enseignements!$G$8:$G$89,Paramétrage!$D$8,Enseignements!V$8:V$89)*Paramétrage!$F$8+SUMIF(Enseignements!$G$8:$G$89,Paramétrage!$D$10,Enseignements!V$8:V$89)*Paramétrage!$F$10+SUMIF(Enseignements!$G$8:$G$89,Paramétrage!$D$11,Enseignements!V$8:V$89)*Paramétrage!$F$11+SUMIF(Enseignements!$G$8:$G$89,Paramétrage!$D$13,Enseignements!V$8:V$89)*Paramétrage!$F$13+SUMIF(Enseignements!$G$8:$G$89,Paramétrage!$D$14,Enseignements!V$8:V$89)*Paramétrage!$F$14+SUMIF(Enseignements!$G$8:$G$89,Paramétrage!$D$16,Enseignements!V$8:V$89)*Paramétrage!$F$16+SUMIF(Enseignements!$G$8:$G$89,Paramétrage!$D$17,Enseignements!V$8:V$89)*Paramétrage!$F$17+SUMIF(Enseignements!$G$8:$G$89,Paramétrage!$D$19,Enseignements!V$8:V$89)*Paramétrage!$F$19+SUMIF(Enseignements!$G$8:$G$89,Paramétrage!$D$20,Enseignements!V$8:V$89)*Paramétrage!$F$20+SUMIF(Enseignements!$G$8:$G$89,Paramétrage!$D$21,Enseignements!V$8:V$89)*Paramétrage!$F$21+SUMIF(Enseignements!$G$8:$G$89,Paramétrage!$D$23,Enseignements!V$8:V$89)*Paramétrage!$F$23+SUMIF(Enseignements!$G$8:$G$89,Paramétrage!$D$24,Enseignements!V$8:V$89)*Paramétrage!$F$24+SUMIF(Enseignements!$G$8:$G$89,Paramétrage!$D$26,Enseignements!V$8:V$89)*Paramétrage!$F$26+SUMIF(Enseignements!$G$8:$G$89,Paramétrage!$D$27,Enseignements!V$8:V$89)*Paramétrage!$F$27</f>
        <v>0</v>
      </c>
      <c r="H17" s="145">
        <v>110</v>
      </c>
      <c r="I17" s="152">
        <f>H17*G17</f>
        <v>0</v>
      </c>
      <c r="J17" s="146">
        <f t="shared" ref="J17:J19" si="1">I17-K17</f>
        <v>0</v>
      </c>
      <c r="K17" s="147">
        <f t="shared" ref="K17:K19" si="2">IF($E$7=0,0,I17/$E$7*$E$8)</f>
        <v>0</v>
      </c>
      <c r="L17" s="148"/>
      <c r="M17" s="58"/>
      <c r="N17" s="58"/>
      <c r="O17" s="58"/>
      <c r="P17" s="153">
        <f>SUM(L17:O17)</f>
        <v>0</v>
      </c>
      <c r="Q17" s="150">
        <f>IF($I17=0,0,$G17*$J17/$I17)</f>
        <v>0</v>
      </c>
      <c r="R17" s="150"/>
      <c r="S17" s="150"/>
      <c r="T17" s="150"/>
      <c r="U17" s="150"/>
      <c r="V17" s="151"/>
    </row>
    <row r="18" spans="2:23" s="100" customFormat="1" ht="16.7" customHeight="1" outlineLevel="1">
      <c r="B18" s="143" t="s">
        <v>185</v>
      </c>
      <c r="C18" s="529" t="s">
        <v>186</v>
      </c>
      <c r="D18" s="530"/>
      <c r="E18" s="530"/>
      <c r="F18" s="531"/>
      <c r="G18" s="96">
        <f>SUMIF(Enseignements!$G$8:$G$89,Paramétrage!$D$6,Enseignements!W$8:W$89)*Paramétrage!$F$6+SUMIF(Enseignements!$G$8:$G$89,Paramétrage!$D$7,Enseignements!W$8:W$89)*Paramétrage!$F$7+SUMIF(Enseignements!$G$8:$G$89,Paramétrage!$D$8,Enseignements!W$8:W$89)*Paramétrage!$F$8+SUMIF(Enseignements!$G$8:$G$89,Paramétrage!$D$10,Enseignements!W$8:W$89)*Paramétrage!$F$10+SUMIF(Enseignements!$G$8:$G$89,Paramétrage!$D$11,Enseignements!W$8:W$89)*Paramétrage!$F$11+SUMIF(Enseignements!$G$8:$G$89,Paramétrage!$D$13,Enseignements!W$8:W$89)*Paramétrage!$F$13+SUMIF(Enseignements!$G$8:$G$89,Paramétrage!$D$14,Enseignements!W$8:W$89)*Paramétrage!$F$14+SUMIF(Enseignements!$G$8:$G$89,Paramétrage!$D$16,Enseignements!W$8:W$89)*Paramétrage!$F$16+SUMIF(Enseignements!$G$8:$G$89,Paramétrage!$D$17,Enseignements!W$8:W$89)*Paramétrage!$F$17+SUMIF(Enseignements!$G$8:$G$89,Paramétrage!$D$19,Enseignements!W$8:W$89)*Paramétrage!$F$19+SUMIF(Enseignements!$G$8:$G$89,Paramétrage!$D$20,Enseignements!W$8:W$89)*Paramétrage!$F$20+SUMIF(Enseignements!$G$8:$G$89,Paramétrage!$D$21,Enseignements!W$8:W$89)*Paramétrage!$F$21+SUMIF(Enseignements!$G$8:$G$89,Paramétrage!$D$23,Enseignements!W$8:W$89)*Paramétrage!$F$23+SUMIF(Enseignements!$G$8:$G$89,Paramétrage!$D$24,Enseignements!W$8:W$89)*Paramétrage!$F$24+SUMIF(Enseignements!$G$8:$G$89,Paramétrage!$D$26,Enseignements!W$8:W$89)*Paramétrage!$F$26+SUMIF(Enseignements!$G$8:$G$89,Paramétrage!$D$27,Enseignements!W$8:W$89)*Paramétrage!$F$27</f>
        <v>271</v>
      </c>
      <c r="H18" s="145">
        <v>56</v>
      </c>
      <c r="I18" s="152">
        <f>H18*G18</f>
        <v>15176</v>
      </c>
      <c r="J18" s="146">
        <f t="shared" si="1"/>
        <v>0</v>
      </c>
      <c r="K18" s="147">
        <f t="shared" si="2"/>
        <v>15176</v>
      </c>
      <c r="L18" s="148"/>
      <c r="M18" s="58"/>
      <c r="N18" s="58"/>
      <c r="O18" s="58"/>
      <c r="P18" s="153">
        <f>SUM(L18:O18)</f>
        <v>0</v>
      </c>
      <c r="Q18" s="150">
        <f>IF($I18=0,0,$G18*$J18/$I18)</f>
        <v>0</v>
      </c>
      <c r="R18" s="150"/>
      <c r="S18" s="150"/>
      <c r="T18" s="150"/>
      <c r="U18" s="150"/>
      <c r="V18" s="151"/>
    </row>
    <row r="19" spans="2:23" s="100" customFormat="1" ht="18.600000000000001" customHeight="1" outlineLevel="1">
      <c r="B19" s="143" t="s">
        <v>187</v>
      </c>
      <c r="C19" s="529" t="s">
        <v>188</v>
      </c>
      <c r="D19" s="530"/>
      <c r="E19" s="530"/>
      <c r="F19" s="531"/>
      <c r="G19" s="96">
        <f>SUMIF(Enseignements!$G$8:$G$89,Paramétrage!$D$6,Enseignements!X$8:X$89)*Paramétrage!$F$6+SUMIF(Enseignements!$G$8:$G$89,Paramétrage!$D$7,Enseignements!X$8:X$89)*Paramétrage!$F$7+SUMIF(Enseignements!$G$8:$G$89,Paramétrage!$D$8,Enseignements!X$8:X$89)*Paramétrage!$F$8+SUMIF(Enseignements!$G$8:$G$89,Paramétrage!$D$10,Enseignements!X$8:X$89)*Paramétrage!$F$10+SUMIF(Enseignements!$G$8:$G$89,Paramétrage!$D$11,Enseignements!X$8:X$89)*Paramétrage!$F$11+SUMIF(Enseignements!$G$8:$G$89,Paramétrage!$D$13,Enseignements!X$8:X$89)*Paramétrage!$F$13+SUMIF(Enseignements!$G$8:$G$89,Paramétrage!$D$14,Enseignements!X$8:X$89)*Paramétrage!$F$14+SUMIF(Enseignements!$G$8:$G$89,Paramétrage!$D$16,Enseignements!X$8:X$89)*Paramétrage!$F$16+SUMIF(Enseignements!$G$8:$G$89,Paramétrage!$D$17,Enseignements!X$8:X$89)*Paramétrage!$F$17+SUMIF(Enseignements!$G$8:$G$89,Paramétrage!$D$19,Enseignements!X$8:X$89)*Paramétrage!$F$19+SUMIF(Enseignements!$G$8:$G$89,Paramétrage!$D$20,Enseignements!X$8:X$89)*Paramétrage!$F$20+SUMIF(Enseignements!$G$8:$G$89,Paramétrage!$D$21,Enseignements!X$8:X$89)*Paramétrage!$F$21+SUMIF(Enseignements!$G$8:$G$89,Paramétrage!$D$23,Enseignements!X$8:X$89)*Paramétrage!$F$23+SUMIF(Enseignements!$G$8:$G$89,Paramétrage!$D$24,Enseignements!X$8:X$89)*Paramétrage!$F$24+SUMIF(Enseignements!$G$8:$G$89,Paramétrage!$D$26,Enseignements!X$8:X$89)*Paramétrage!$F$26+SUMIF(Enseignements!$G$8:$G$89,Paramétrage!$D$27,Enseignements!X$8:X$89)*Paramétrage!$F$27</f>
        <v>0</v>
      </c>
      <c r="H19" s="154"/>
      <c r="I19" s="152">
        <f t="shared" ref="I19" si="3">H19*G19</f>
        <v>0</v>
      </c>
      <c r="J19" s="146">
        <f t="shared" si="1"/>
        <v>0</v>
      </c>
      <c r="K19" s="147">
        <f t="shared" si="2"/>
        <v>0</v>
      </c>
      <c r="L19" s="148"/>
      <c r="M19" s="148"/>
      <c r="N19" s="155"/>
      <c r="O19" s="58"/>
      <c r="P19" s="153">
        <f>SUM(L19:O19)</f>
        <v>0</v>
      </c>
      <c r="Q19" s="150">
        <f>IF($I19=0,0,$G19*$J19/$I19)</f>
        <v>0</v>
      </c>
      <c r="R19" s="150"/>
      <c r="S19" s="150"/>
      <c r="T19" s="150"/>
      <c r="U19" s="150"/>
      <c r="V19" s="151"/>
    </row>
    <row r="20" spans="2:23" s="100" customFormat="1" ht="22.35" customHeight="1" outlineLevel="1" thickBot="1">
      <c r="B20" s="535" t="s">
        <v>189</v>
      </c>
      <c r="C20" s="536"/>
      <c r="D20" s="536"/>
      <c r="E20" s="536"/>
      <c r="F20" s="537"/>
      <c r="G20" s="156">
        <f>SUM(G16:G19)</f>
        <v>489</v>
      </c>
      <c r="H20" s="157">
        <f>IF(G20=0,0,I20/G20)</f>
        <v>128.22085889570553</v>
      </c>
      <c r="I20" s="158">
        <f>SUM(I16:I19)</f>
        <v>62700</v>
      </c>
      <c r="J20" s="159">
        <f>SUM(J16:J19)</f>
        <v>0</v>
      </c>
      <c r="K20" s="160">
        <f>SUM(K16:K19)</f>
        <v>62700</v>
      </c>
      <c r="L20" s="161">
        <f>SUM(L16:L19)</f>
        <v>0</v>
      </c>
      <c r="M20" s="158">
        <f>SUM(M16:M19)</f>
        <v>0</v>
      </c>
      <c r="N20" s="158">
        <f t="shared" ref="N20:P20" si="4">SUM(N16:N19)</f>
        <v>0</v>
      </c>
      <c r="O20" s="158">
        <f t="shared" si="4"/>
        <v>0</v>
      </c>
      <c r="P20" s="160">
        <f t="shared" si="4"/>
        <v>0</v>
      </c>
      <c r="Q20" s="131">
        <f>IF($K$72=0,0,K20/$K$72)</f>
        <v>0.40665434380776339</v>
      </c>
      <c r="R20" s="132" t="s">
        <v>180</v>
      </c>
      <c r="S20" s="52"/>
      <c r="T20" s="48"/>
      <c r="U20" s="48"/>
      <c r="V20" s="52"/>
    </row>
    <row r="21" spans="2:23" s="52" customFormat="1" ht="17.100000000000001" customHeight="1" outlineLevel="1">
      <c r="B21" s="133" t="s">
        <v>190</v>
      </c>
      <c r="C21" s="134" t="s">
        <v>191</v>
      </c>
      <c r="D21" s="135"/>
      <c r="E21" s="135"/>
      <c r="F21" s="136"/>
      <c r="G21" s="137"/>
      <c r="H21" s="138"/>
      <c r="I21" s="137"/>
      <c r="J21" s="137"/>
      <c r="K21" s="139"/>
      <c r="L21" s="140"/>
      <c r="M21" s="138"/>
      <c r="N21" s="138"/>
      <c r="O21" s="138"/>
      <c r="P21" s="139"/>
      <c r="Q21" s="162"/>
      <c r="R21" s="48"/>
      <c r="S21" s="48"/>
      <c r="T21" s="48"/>
      <c r="U21" s="100"/>
      <c r="V21" s="100"/>
    </row>
    <row r="22" spans="2:23" s="100" customFormat="1" ht="17.100000000000001" customHeight="1" outlineLevel="1">
      <c r="B22" s="143" t="s">
        <v>192</v>
      </c>
      <c r="C22" s="163" t="s">
        <v>193</v>
      </c>
      <c r="D22" s="164"/>
      <c r="E22" s="164"/>
      <c r="F22" s="165"/>
      <c r="G22" s="144">
        <f>SUMIF(Enseignements!$G$8:$G$89,Paramétrage!D15,Enseignements!Y$8:Y$89)</f>
        <v>0</v>
      </c>
      <c r="H22" s="145">
        <f>IF(G22=0,0,(SUMIF(Enseignements!$G$8:$G$89,Paramétrage!$D$15,Enseignements!X$8:X$89)*$H$16+SUMIF(Enseignements!$G$8:$G$89,Paramétrage!$D$15,Enseignements!V$8:V$89)*$H$17+SUMIF(Enseignements!$G$8:$G$89,Paramétrage!$D$15,Enseignements!W$8:W$89)*$H$18+SUMIF(Enseignements!$G$8:$G$89,Paramétrage!$D$15,Enseignements!X$8:X$89)*$H$19)/G22)</f>
        <v>0</v>
      </c>
      <c r="I22" s="146">
        <f>H22*G22</f>
        <v>0</v>
      </c>
      <c r="J22" s="152">
        <f>I22-K22</f>
        <v>0</v>
      </c>
      <c r="K22" s="147">
        <f t="shared" ref="K22" si="5">IF($E$7=0,0,I22/$E$7*$E$8)</f>
        <v>0</v>
      </c>
      <c r="L22" s="148"/>
      <c r="M22" s="155"/>
      <c r="N22" s="155"/>
      <c r="O22" s="58"/>
      <c r="P22" s="149">
        <f>SUM(L22:O22)</f>
        <v>0</v>
      </c>
      <c r="Q22" s="150">
        <f>IF($I22=0,0,$G22*$J22/$I22)</f>
        <v>0</v>
      </c>
      <c r="R22" s="150"/>
      <c r="S22" s="150"/>
      <c r="T22" s="150"/>
      <c r="U22" s="150"/>
      <c r="V22" s="150"/>
      <c r="W22" s="67"/>
    </row>
    <row r="23" spans="2:23" s="100" customFormat="1" ht="17.100000000000001" customHeight="1" outlineLevel="1">
      <c r="B23" s="143" t="s">
        <v>194</v>
      </c>
      <c r="C23" s="529" t="s">
        <v>195</v>
      </c>
      <c r="D23" s="530"/>
      <c r="E23" s="530"/>
      <c r="F23" s="531"/>
      <c r="G23" s="144">
        <f>SUMIF(Enseignements!$G$8:$G$89,Paramétrage!$D$18,Enseignements!Y$8:Y$89)</f>
        <v>95</v>
      </c>
      <c r="H23" s="145">
        <f>IF(G23=0,0,(SUMIF(Enseignements!$G$8:$G$89,Paramétrage!$D$18,Enseignements!U$8:U$89)*$H$16+SUMIF(Enseignements!$G$8:$G$89,Paramétrage!$D$18,Enseignements!V$8:V$89)*$H$17+SUMIF(Enseignements!$G$8:$G$89,Paramétrage!$D$18,Enseignements!W$8:W$89)*$H$18+SUMIF(Enseignements!$G$8:$G$89,Paramétrage!$D$18,Enseignements!X$8:X$89)*$H$19)/G23)</f>
        <v>212.31578947368422</v>
      </c>
      <c r="I23" s="146">
        <f>H23*G23</f>
        <v>20170</v>
      </c>
      <c r="J23" s="146">
        <f>I23-K23</f>
        <v>0</v>
      </c>
      <c r="K23" s="147">
        <f>IF($E$7=0,0,I23/$E$7*$E$8)</f>
        <v>20170</v>
      </c>
      <c r="L23" s="58"/>
      <c r="M23" s="58"/>
      <c r="N23" s="58"/>
      <c r="O23" s="58"/>
      <c r="P23" s="153">
        <f>SUM(L23:O23)</f>
        <v>0</v>
      </c>
      <c r="Q23" s="150">
        <f>IF($I23=0,0,$G23*$J23/$I23)</f>
        <v>0</v>
      </c>
      <c r="R23" s="150"/>
      <c r="S23" s="150"/>
      <c r="T23" s="150"/>
      <c r="U23" s="150"/>
      <c r="V23" s="150"/>
      <c r="W23" s="67"/>
    </row>
    <row r="24" spans="2:23" s="100" customFormat="1" ht="17.100000000000001" customHeight="1" outlineLevel="1">
      <c r="B24" s="143" t="s">
        <v>196</v>
      </c>
      <c r="C24" s="529" t="s">
        <v>197</v>
      </c>
      <c r="D24" s="530"/>
      <c r="E24" s="530"/>
      <c r="F24" s="531"/>
      <c r="G24" s="144">
        <f>SUMIF(Enseignements!$G$8:$G$89,Paramétrage!$D$9,Enseignements!Y$8:Y$89)</f>
        <v>0</v>
      </c>
      <c r="H24" s="145">
        <f>IF(G24=0,0,(SUMIF(Enseignements!$G$8:$G$89,Paramétrage!$D$9,Enseignements!U$8:U$89)*$H$16+SUMIF(Enseignements!$G$8:$G$89,Paramétrage!$D$9,Enseignements!V$8:V$89)*$H$17+SUMIF(Enseignements!$G$8:$G$89,Paramétrage!$D$9,Enseignements!W$8:W$89)*$H$18+SUMIF(Enseignements!$G$8:$G$89,Paramétrage!$D$9,Enseignements!X$8:X$89)*$H$19)/G24)</f>
        <v>0</v>
      </c>
      <c r="I24" s="146">
        <f>H24*G24</f>
        <v>0</v>
      </c>
      <c r="J24" s="152">
        <f>I24</f>
        <v>0</v>
      </c>
      <c r="K24" s="147">
        <v>0</v>
      </c>
      <c r="L24" s="148"/>
      <c r="M24" s="58"/>
      <c r="N24" s="58"/>
      <c r="O24" s="58"/>
      <c r="P24" s="153">
        <f>SUM(L24:O24)</f>
        <v>0</v>
      </c>
      <c r="Q24" s="150">
        <f>IF($I24=0,0,$G24*$J24/$I24)</f>
        <v>0</v>
      </c>
      <c r="R24" s="150"/>
      <c r="S24" s="150"/>
      <c r="T24" s="150"/>
      <c r="U24" s="150"/>
      <c r="V24" s="150"/>
      <c r="W24" s="67"/>
    </row>
    <row r="25" spans="2:23" s="100" customFormat="1" ht="17.100000000000001" customHeight="1" outlineLevel="1">
      <c r="B25" s="143" t="s">
        <v>198</v>
      </c>
      <c r="C25" s="529" t="s">
        <v>199</v>
      </c>
      <c r="D25" s="530"/>
      <c r="E25" s="530"/>
      <c r="F25" s="531"/>
      <c r="G25" s="144">
        <f>SUMIF(Enseignements!$G$8:$G$89,Paramétrage!$D$12,Enseignements!Y$8:Y$89)</f>
        <v>95</v>
      </c>
      <c r="H25" s="145">
        <f>IF(G25=0,0,(SUMIF(Enseignements!$G$8:$G$89,Paramétrage!$D$12,Enseignements!U$8:U$89)*$H$16+SUMIF(Enseignements!$G$8:$G$89,Paramétrage!$D$12,Enseignements!V$8:V$89)*$H$17+SUMIF(Enseignements!$G$8:$G$89,Paramétrage!$D$12,Enseignements!W$8:W$89)*$H$18+SUMIF(Enseignements!$G$8:$G$89,Paramétrage!$D$12,Enseignements!X$8:X$89)*$H$19)/G25)</f>
        <v>212.31578947368422</v>
      </c>
      <c r="I25" s="146">
        <f>H25*G25</f>
        <v>20170</v>
      </c>
      <c r="J25" s="146">
        <f>I25-K25</f>
        <v>0</v>
      </c>
      <c r="K25" s="147">
        <f>I25</f>
        <v>20170</v>
      </c>
      <c r="L25" s="148"/>
      <c r="M25" s="155"/>
      <c r="N25" s="155"/>
      <c r="O25" s="58"/>
      <c r="P25" s="153">
        <f>SUM(L25:O25)</f>
        <v>0</v>
      </c>
      <c r="Q25" s="150">
        <f>IF($I25=0,0,$G25*$J25/$I25)</f>
        <v>0</v>
      </c>
      <c r="R25" s="150"/>
      <c r="S25" s="150"/>
      <c r="T25" s="150"/>
      <c r="U25" s="150"/>
      <c r="V25" s="150"/>
      <c r="W25" s="67"/>
    </row>
    <row r="26" spans="2:23" s="100" customFormat="1" ht="17.100000000000001" customHeight="1" outlineLevel="1">
      <c r="B26" s="143" t="s">
        <v>200</v>
      </c>
      <c r="C26" s="529" t="s">
        <v>201</v>
      </c>
      <c r="D26" s="530"/>
      <c r="E26" s="530"/>
      <c r="F26" s="531"/>
      <c r="G26" s="144">
        <f>SUMIF(Enseignements!$G$8:$G$89,Paramétrage!$D$22,Enseignements!Y$8:Y$89)+SUMIF(Enseignements!$G$8:$G$89,Paramétrage!$D$25,Enseignements!Y$8:Y$89)</f>
        <v>0</v>
      </c>
      <c r="H26" s="145">
        <f>IF(G26=0,0,(SUMIF(Enseignements!$G$8:$G$89,Paramétrage!$D$22,Enseignements!U$8:U$89)*$H$16+SUMIF(Enseignements!$G$8:$G$89,Paramétrage!$D$22,Enseignements!V$8:V$89)*$H$17+SUMIF(Enseignements!$G$8:$G$89,Paramétrage!$D$22,Enseignements!W$8:W$89)*$H$18+SUMIF(Enseignements!$G$8:$G$89,Paramétrage!$D$22,Enseignements!X$8:X$89)*$H$19)/G26)+IF(G26=0,0,(SUMIF(Enseignements!$G$8:$G$89,Paramétrage!$D$25,Enseignements!U$8:U$89)*$H$16+SUMIF(Enseignements!$G$8:$G$89,Paramétrage!$D$25,Enseignements!V$8:V$89)*$H$17+SUMIF(Enseignements!$G$8:$G$89,Paramétrage!$D$25,Enseignements!W$8:W$89)*$H$18+SUMIF(Enseignements!$G$8:$G$89,Paramétrage!$D$25,Enseignements!X$8:X$89)*$H$19)/G26)</f>
        <v>0</v>
      </c>
      <c r="I26" s="146">
        <f>H26*G26</f>
        <v>0</v>
      </c>
      <c r="J26" s="146">
        <f>I26-K26</f>
        <v>0</v>
      </c>
      <c r="K26" s="147">
        <f t="shared" ref="K26" si="6">IF($E$7=0,0,I26/$E$7*$E$8)</f>
        <v>0</v>
      </c>
      <c r="L26" s="58"/>
      <c r="M26" s="58"/>
      <c r="N26" s="58"/>
      <c r="O26" s="58"/>
      <c r="P26" s="153">
        <f>SUM(L26:O26)</f>
        <v>0</v>
      </c>
      <c r="Q26" s="150">
        <f>IF($I26=0,0,$G26*$J26/$I26)</f>
        <v>0</v>
      </c>
      <c r="R26" s="150"/>
      <c r="S26" s="150"/>
      <c r="T26" s="150"/>
      <c r="U26" s="150"/>
      <c r="V26" s="150"/>
      <c r="W26" s="67"/>
    </row>
    <row r="27" spans="2:23" s="100" customFormat="1" ht="21.6" customHeight="1" outlineLevel="1" thickBot="1">
      <c r="B27" s="535" t="s">
        <v>202</v>
      </c>
      <c r="C27" s="536"/>
      <c r="D27" s="536"/>
      <c r="E27" s="536"/>
      <c r="F27" s="537"/>
      <c r="G27" s="156">
        <f>SUM(G22:G26)</f>
        <v>190</v>
      </c>
      <c r="H27" s="157">
        <f>IF(G27=0,0,I27/G27)</f>
        <v>212.31578947368422</v>
      </c>
      <c r="I27" s="157">
        <f>SUM(I22:I26)</f>
        <v>40340</v>
      </c>
      <c r="J27" s="157">
        <f t="shared" ref="J27:K27" si="7">SUM(J22:J26)</f>
        <v>0</v>
      </c>
      <c r="K27" s="160">
        <f t="shared" si="7"/>
        <v>40340</v>
      </c>
      <c r="L27" s="166">
        <f>SUM(L22:L26)</f>
        <v>0</v>
      </c>
      <c r="M27" s="167">
        <f>SUM(M22:M26)</f>
        <v>0</v>
      </c>
      <c r="N27" s="168">
        <f t="shared" ref="N27:O27" si="8">SUM(N22:N26)</f>
        <v>0</v>
      </c>
      <c r="O27" s="158">
        <f t="shared" si="8"/>
        <v>0</v>
      </c>
      <c r="P27" s="160">
        <f t="shared" ref="P27" si="9">SUM(P22:P25)</f>
        <v>0</v>
      </c>
      <c r="Q27" s="131">
        <f>IF($K$72=0,0,K27/$K$72)</f>
        <v>0.26163375166196451</v>
      </c>
      <c r="R27" s="132" t="s">
        <v>180</v>
      </c>
      <c r="S27" s="52"/>
      <c r="T27" s="99"/>
    </row>
    <row r="28" spans="2:23" s="100" customFormat="1" ht="17.100000000000001" customHeight="1" outlineLevel="1">
      <c r="B28" s="133" t="s">
        <v>203</v>
      </c>
      <c r="C28" s="134" t="s">
        <v>204</v>
      </c>
      <c r="D28" s="135"/>
      <c r="E28" s="135"/>
      <c r="F28" s="136"/>
      <c r="G28" s="137"/>
      <c r="H28" s="138"/>
      <c r="I28" s="137"/>
      <c r="J28" s="137"/>
      <c r="K28" s="139"/>
      <c r="L28" s="175"/>
      <c r="M28" s="176"/>
      <c r="N28" s="176"/>
      <c r="O28" s="176"/>
      <c r="P28" s="177"/>
      <c r="Q28" s="141"/>
      <c r="R28" s="178">
        <f t="shared" ref="R28:U28" si="10">IF($I28=0,0,IF($P28=0,0,$G28*$J28/$I28*L28/$P28))</f>
        <v>0</v>
      </c>
      <c r="S28" s="178">
        <f t="shared" si="10"/>
        <v>0</v>
      </c>
      <c r="T28" s="178">
        <f t="shared" si="10"/>
        <v>0</v>
      </c>
      <c r="U28" s="179">
        <f t="shared" si="10"/>
        <v>0</v>
      </c>
      <c r="V28" s="180"/>
    </row>
    <row r="29" spans="2:23" s="100" customFormat="1" ht="17.100000000000001" customHeight="1" outlineLevel="1">
      <c r="B29" s="143" t="s">
        <v>205</v>
      </c>
      <c r="C29" s="529" t="s">
        <v>206</v>
      </c>
      <c r="D29" s="530"/>
      <c r="E29" s="530"/>
      <c r="F29" s="531"/>
      <c r="G29" s="58">
        <v>15</v>
      </c>
      <c r="H29" s="145">
        <f>+H16</f>
        <v>218</v>
      </c>
      <c r="I29" s="181">
        <f>H29*G29</f>
        <v>3270</v>
      </c>
      <c r="J29" s="146">
        <f t="shared" ref="J29:J31" si="11">I29-K29</f>
        <v>0</v>
      </c>
      <c r="K29" s="147">
        <f t="shared" ref="K29:K31" si="12">IF($E$7=0,0,I29/$E$7*$E$8)</f>
        <v>3270</v>
      </c>
      <c r="L29" s="182"/>
      <c r="M29" s="58"/>
      <c r="N29" s="58"/>
      <c r="O29" s="58"/>
      <c r="P29" s="153">
        <f>SUM(L29:O29)</f>
        <v>0</v>
      </c>
      <c r="Q29" s="150">
        <f>IF($I29=0,0,$G29*$J29/$I29)</f>
        <v>0</v>
      </c>
      <c r="R29" s="150"/>
      <c r="S29" s="150"/>
      <c r="T29" s="150"/>
      <c r="U29" s="150"/>
      <c r="V29" s="151"/>
      <c r="W29" s="183"/>
    </row>
    <row r="30" spans="2:23" s="100" customFormat="1" ht="17.100000000000001" customHeight="1" outlineLevel="1">
      <c r="B30" s="143" t="s">
        <v>207</v>
      </c>
      <c r="C30" s="529" t="s">
        <v>208</v>
      </c>
      <c r="D30" s="530"/>
      <c r="E30" s="530"/>
      <c r="F30" s="531"/>
      <c r="G30" s="58">
        <v>5</v>
      </c>
      <c r="H30" s="145">
        <f>$H$20</f>
        <v>128.22085889570553</v>
      </c>
      <c r="I30" s="181">
        <f>H30*G30</f>
        <v>641.10429447852766</v>
      </c>
      <c r="J30" s="146">
        <f t="shared" si="11"/>
        <v>0</v>
      </c>
      <c r="K30" s="147">
        <f>I30</f>
        <v>641.10429447852766</v>
      </c>
      <c r="L30" s="182"/>
      <c r="M30" s="148"/>
      <c r="N30" s="58"/>
      <c r="O30" s="58"/>
      <c r="P30" s="153">
        <f>SUM(L30:O30)</f>
        <v>0</v>
      </c>
      <c r="Q30" s="150">
        <f t="shared" ref="Q30:Q31" si="13">IF($I30=0,0,$G30*$J30/$I30)</f>
        <v>0</v>
      </c>
      <c r="R30" s="150"/>
      <c r="S30" s="150"/>
      <c r="T30" s="150"/>
      <c r="U30" s="150"/>
      <c r="V30" s="151"/>
      <c r="W30" s="183"/>
    </row>
    <row r="31" spans="2:23" s="100" customFormat="1" ht="17.100000000000001" customHeight="1" outlineLevel="1">
      <c r="B31" s="143" t="s">
        <v>209</v>
      </c>
      <c r="C31" s="346" t="s">
        <v>26</v>
      </c>
      <c r="D31" s="164"/>
      <c r="E31" s="164"/>
      <c r="F31" s="165"/>
      <c r="G31" s="184"/>
      <c r="H31" s="145">
        <f>$H$20</f>
        <v>128.22085889570553</v>
      </c>
      <c r="I31" s="185">
        <f>H31*G31</f>
        <v>0</v>
      </c>
      <c r="J31" s="146">
        <f t="shared" si="11"/>
        <v>0</v>
      </c>
      <c r="K31" s="147">
        <f t="shared" si="12"/>
        <v>0</v>
      </c>
      <c r="L31" s="186"/>
      <c r="M31" s="58"/>
      <c r="N31" s="58"/>
      <c r="O31" s="58"/>
      <c r="P31" s="153">
        <f>SUM(L31:O31)</f>
        <v>0</v>
      </c>
      <c r="Q31" s="150">
        <f t="shared" si="13"/>
        <v>0</v>
      </c>
      <c r="R31" s="150"/>
      <c r="S31" s="150"/>
      <c r="T31" s="150"/>
      <c r="U31" s="150"/>
      <c r="V31" s="151"/>
      <c r="W31" s="183"/>
    </row>
    <row r="32" spans="2:23" s="100" customFormat="1" ht="21" customHeight="1" outlineLevel="1" thickBot="1">
      <c r="B32" s="535" t="s">
        <v>210</v>
      </c>
      <c r="C32" s="536"/>
      <c r="D32" s="536"/>
      <c r="E32" s="536"/>
      <c r="F32" s="537"/>
      <c r="G32" s="156">
        <f>SUM(G29:G31)</f>
        <v>20</v>
      </c>
      <c r="H32" s="157">
        <f>IF(G32=0,0,I32/G32)</f>
        <v>195.55521472392638</v>
      </c>
      <c r="I32" s="157">
        <f>SUM(I29:I31)</f>
        <v>3911.1042944785277</v>
      </c>
      <c r="J32" s="157">
        <f>SUM(J29:J31)</f>
        <v>0</v>
      </c>
      <c r="K32" s="359">
        <f>SUM(K29:K31)</f>
        <v>3911.1042944785277</v>
      </c>
      <c r="L32" s="161">
        <f t="shared" ref="L32:M32" si="14">SUM(L29:L31)</f>
        <v>0</v>
      </c>
      <c r="M32" s="158">
        <f t="shared" si="14"/>
        <v>0</v>
      </c>
      <c r="N32" s="158">
        <f>SUM(N29:N31)</f>
        <v>0</v>
      </c>
      <c r="O32" s="158">
        <f>SUM(O29:O31)</f>
        <v>0</v>
      </c>
      <c r="P32" s="160">
        <f t="shared" ref="P32" si="15">SUM(P28:P31)</f>
        <v>0</v>
      </c>
      <c r="Q32" s="131">
        <f>IF($K$72=0,0,K32/$K$72)</f>
        <v>2.5366308619376252E-2</v>
      </c>
      <c r="R32" s="132" t="s">
        <v>180</v>
      </c>
      <c r="S32" s="52"/>
      <c r="T32" s="99"/>
      <c r="U32" s="49"/>
    </row>
    <row r="33" spans="2:22" s="100" customFormat="1" ht="21" hidden="1" customHeight="1" outlineLevel="1">
      <c r="B33" s="190"/>
      <c r="C33" s="191"/>
      <c r="D33" s="192"/>
      <c r="E33" s="193"/>
      <c r="F33" s="193"/>
      <c r="G33" s="193"/>
      <c r="H33" s="194" t="s">
        <v>211</v>
      </c>
      <c r="I33" s="195">
        <f>+G20+G27+G32</f>
        <v>699</v>
      </c>
      <c r="J33" s="195">
        <f>SUM(Q16:Q19)+SUM(Q22:Q26)+SUM(Q29:Q31)</f>
        <v>0</v>
      </c>
      <c r="K33" s="196">
        <f>I33-J33</f>
        <v>699</v>
      </c>
      <c r="L33" s="197"/>
      <c r="M33" s="197"/>
      <c r="N33" s="197"/>
      <c r="O33" s="197"/>
      <c r="P33" s="197"/>
      <c r="Q33" s="198"/>
      <c r="R33" s="198"/>
      <c r="S33" s="199"/>
      <c r="T33" s="200"/>
      <c r="U33" s="99"/>
      <c r="V33" s="201"/>
    </row>
    <row r="34" spans="2:22" s="100" customFormat="1" ht="21" customHeight="1" outlineLevel="1" thickBot="1">
      <c r="B34" s="202"/>
      <c r="C34" s="203"/>
      <c r="D34" s="204"/>
      <c r="E34" s="205"/>
      <c r="F34" s="205"/>
      <c r="G34" s="205"/>
      <c r="H34" s="206" t="s">
        <v>212</v>
      </c>
      <c r="I34" s="207">
        <f>IF($E$7=0,0,(I32+I20+I27)/$E$7)</f>
        <v>5629.0054891830805</v>
      </c>
      <c r="J34" s="208">
        <f>IF($E$7-$E$8=0,0,(J32+J20+J27)/($E$7-$E$8))</f>
        <v>0</v>
      </c>
      <c r="K34" s="209">
        <f>IF($E$8=0,0,(K32+K20+K27)/$E$8)</f>
        <v>5629.0054891830805</v>
      </c>
      <c r="L34" s="197"/>
      <c r="M34" s="197"/>
      <c r="N34" s="197"/>
      <c r="O34" s="197"/>
      <c r="P34" s="197"/>
      <c r="Q34" s="198"/>
      <c r="R34" s="198"/>
      <c r="S34" s="199"/>
      <c r="T34" s="200"/>
      <c r="U34" s="99"/>
      <c r="V34" s="201"/>
    </row>
    <row r="35" spans="2:22" s="52" customFormat="1" ht="22.35" customHeight="1" thickBot="1">
      <c r="B35" s="210" t="s">
        <v>213</v>
      </c>
      <c r="C35" s="211"/>
      <c r="D35" s="212"/>
      <c r="E35" s="212"/>
      <c r="F35" s="212"/>
      <c r="G35" s="212"/>
      <c r="H35" s="213"/>
      <c r="I35" s="214">
        <f t="shared" ref="I35:P35" si="16">SUM(I36:I44)</f>
        <v>6000</v>
      </c>
      <c r="J35" s="215">
        <f t="shared" si="16"/>
        <v>0</v>
      </c>
      <c r="K35" s="216">
        <f t="shared" si="16"/>
        <v>6000</v>
      </c>
      <c r="L35" s="130">
        <f t="shared" si="16"/>
        <v>0</v>
      </c>
      <c r="M35" s="126">
        <f t="shared" si="16"/>
        <v>0</v>
      </c>
      <c r="N35" s="127">
        <f t="shared" si="16"/>
        <v>0</v>
      </c>
      <c r="O35" s="126">
        <f t="shared" si="16"/>
        <v>0</v>
      </c>
      <c r="P35" s="217">
        <f t="shared" si="16"/>
        <v>0</v>
      </c>
      <c r="Q35" s="131">
        <f>IF($K$72=0,0,K35/$K$72)</f>
        <v>3.8914291273470181E-2</v>
      </c>
      <c r="R35" s="132" t="s">
        <v>180</v>
      </c>
      <c r="U35" s="100"/>
      <c r="V35" s="100"/>
    </row>
    <row r="36" spans="2:22" s="100" customFormat="1" ht="17.100000000000001" customHeight="1" outlineLevel="1">
      <c r="B36" s="218" t="s">
        <v>214</v>
      </c>
      <c r="C36" s="219" t="s">
        <v>215</v>
      </c>
      <c r="D36" s="220"/>
      <c r="E36" s="220"/>
      <c r="F36" s="220"/>
      <c r="G36" s="220"/>
      <c r="H36" s="220"/>
      <c r="I36" s="221">
        <v>3000</v>
      </c>
      <c r="J36" s="222">
        <f>I36-K36</f>
        <v>0</v>
      </c>
      <c r="K36" s="223">
        <f>IF($E$7=0,0,I36/$E$7*$E$8)</f>
        <v>3000</v>
      </c>
      <c r="L36" s="224"/>
      <c r="M36" s="225"/>
      <c r="N36" s="226"/>
      <c r="O36" s="225"/>
      <c r="P36" s="227">
        <f>SUM(L36:O36)</f>
        <v>0</v>
      </c>
      <c r="Q36" s="228"/>
      <c r="R36" s="229"/>
      <c r="S36" s="52"/>
    </row>
    <row r="37" spans="2:22" s="100" customFormat="1" ht="17.100000000000001" customHeight="1" outlineLevel="1">
      <c r="B37" s="76" t="s">
        <v>216</v>
      </c>
      <c r="C37" s="230" t="s">
        <v>217</v>
      </c>
      <c r="D37" s="231"/>
      <c r="E37" s="231"/>
      <c r="F37" s="231"/>
      <c r="G37" s="231"/>
      <c r="H37" s="231"/>
      <c r="I37" s="232"/>
      <c r="J37" s="145">
        <f>I37-K37</f>
        <v>0</v>
      </c>
      <c r="K37" s="233">
        <f t="shared" ref="K37:K44" si="17">IF($E$7=0,0,I37/$E$7*$E$8)</f>
        <v>0</v>
      </c>
      <c r="L37" s="182"/>
      <c r="M37" s="148"/>
      <c r="N37" s="234"/>
      <c r="O37" s="148"/>
      <c r="P37" s="153">
        <f>SUM(L37:O37)</f>
        <v>0</v>
      </c>
      <c r="Q37" s="228"/>
      <c r="R37" s="229"/>
      <c r="S37" s="52"/>
    </row>
    <row r="38" spans="2:22" s="100" customFormat="1" ht="17.100000000000001" customHeight="1" outlineLevel="1">
      <c r="B38" s="76" t="s">
        <v>218</v>
      </c>
      <c r="C38" s="230" t="s">
        <v>219</v>
      </c>
      <c r="D38" s="231"/>
      <c r="E38" s="231"/>
      <c r="F38" s="231"/>
      <c r="G38" s="231"/>
      <c r="H38" s="231"/>
      <c r="I38" s="232"/>
      <c r="J38" s="145">
        <f>I38-K38</f>
        <v>0</v>
      </c>
      <c r="K38" s="233">
        <f t="shared" si="17"/>
        <v>0</v>
      </c>
      <c r="L38" s="182"/>
      <c r="M38" s="148"/>
      <c r="N38" s="234"/>
      <c r="O38" s="148"/>
      <c r="P38" s="153">
        <f t="shared" ref="P38:P44" si="18">SUM(L38:O38)</f>
        <v>0</v>
      </c>
      <c r="Q38" s="228"/>
      <c r="R38" s="229"/>
      <c r="S38" s="52"/>
    </row>
    <row r="39" spans="2:22" s="100" customFormat="1" ht="17.100000000000001" customHeight="1" outlineLevel="1">
      <c r="B39" s="76" t="s">
        <v>220</v>
      </c>
      <c r="C39" s="230" t="s">
        <v>221</v>
      </c>
      <c r="D39" s="231"/>
      <c r="E39" s="231"/>
      <c r="F39" s="231"/>
      <c r="G39" s="231"/>
      <c r="H39" s="231"/>
      <c r="I39" s="232"/>
      <c r="J39" s="145">
        <f>I39-K39</f>
        <v>0</v>
      </c>
      <c r="K39" s="233">
        <f t="shared" si="17"/>
        <v>0</v>
      </c>
      <c r="L39" s="182"/>
      <c r="M39" s="148"/>
      <c r="N39" s="234"/>
      <c r="O39" s="148"/>
      <c r="P39" s="153">
        <f t="shared" si="18"/>
        <v>0</v>
      </c>
      <c r="Q39" s="228"/>
      <c r="R39" s="229"/>
      <c r="S39" s="52"/>
    </row>
    <row r="40" spans="2:22" s="100" customFormat="1" ht="17.100000000000001" customHeight="1" outlineLevel="1">
      <c r="B40" s="76" t="s">
        <v>222</v>
      </c>
      <c r="C40" s="230" t="s">
        <v>223</v>
      </c>
      <c r="D40" s="231"/>
      <c r="E40" s="231"/>
      <c r="F40" s="231"/>
      <c r="G40" s="231"/>
      <c r="H40" s="231"/>
      <c r="I40" s="232">
        <v>1500</v>
      </c>
      <c r="J40" s="145">
        <f>I40-K40</f>
        <v>0</v>
      </c>
      <c r="K40" s="233">
        <f t="shared" si="17"/>
        <v>1500</v>
      </c>
      <c r="L40" s="182"/>
      <c r="M40" s="148"/>
      <c r="N40" s="234"/>
      <c r="O40" s="148"/>
      <c r="P40" s="153">
        <f>SUM(L40:O40)</f>
        <v>0</v>
      </c>
      <c r="Q40" s="228"/>
      <c r="R40" s="229"/>
      <c r="S40" s="52"/>
    </row>
    <row r="41" spans="2:22" s="100" customFormat="1" ht="17.100000000000001" customHeight="1" outlineLevel="1">
      <c r="B41" s="76" t="s">
        <v>224</v>
      </c>
      <c r="C41" s="230" t="s">
        <v>225</v>
      </c>
      <c r="D41" s="231"/>
      <c r="E41" s="231"/>
      <c r="F41" s="231"/>
      <c r="G41" s="231"/>
      <c r="H41" s="231"/>
      <c r="I41" s="232"/>
      <c r="J41" s="145">
        <f t="shared" ref="J41:J44" si="19">I41-K41</f>
        <v>0</v>
      </c>
      <c r="K41" s="233">
        <v>0</v>
      </c>
      <c r="L41" s="182"/>
      <c r="M41" s="148"/>
      <c r="N41" s="234"/>
      <c r="O41" s="148"/>
      <c r="P41" s="153">
        <f>SUM(L41:O41)</f>
        <v>0</v>
      </c>
      <c r="Q41" s="228"/>
      <c r="R41" s="229"/>
      <c r="S41" s="52"/>
    </row>
    <row r="42" spans="2:22" s="100" customFormat="1" ht="17.100000000000001" customHeight="1" outlineLevel="1">
      <c r="B42" s="76" t="s">
        <v>226</v>
      </c>
      <c r="C42" s="230" t="s">
        <v>227</v>
      </c>
      <c r="D42" s="231"/>
      <c r="E42" s="231"/>
      <c r="F42" s="231"/>
      <c r="G42" s="231"/>
      <c r="H42" s="231"/>
      <c r="I42" s="232">
        <v>1500</v>
      </c>
      <c r="J42" s="145">
        <f t="shared" si="19"/>
        <v>0</v>
      </c>
      <c r="K42" s="233">
        <f>I42</f>
        <v>1500</v>
      </c>
      <c r="L42" s="182"/>
      <c r="M42" s="148"/>
      <c r="N42" s="234"/>
      <c r="O42" s="148"/>
      <c r="P42" s="153">
        <f t="shared" si="18"/>
        <v>0</v>
      </c>
      <c r="Q42" s="228"/>
      <c r="R42" s="229"/>
      <c r="S42" s="52"/>
    </row>
    <row r="43" spans="2:22" s="100" customFormat="1" ht="17.100000000000001" customHeight="1" outlineLevel="1">
      <c r="B43" s="76" t="s">
        <v>228</v>
      </c>
      <c r="C43" s="230" t="s">
        <v>229</v>
      </c>
      <c r="D43" s="231"/>
      <c r="E43" s="231"/>
      <c r="F43" s="231"/>
      <c r="G43" s="231"/>
      <c r="H43" s="231"/>
      <c r="I43" s="232"/>
      <c r="J43" s="145">
        <f t="shared" si="19"/>
        <v>0</v>
      </c>
      <c r="K43" s="233">
        <f t="shared" si="17"/>
        <v>0</v>
      </c>
      <c r="L43" s="182"/>
      <c r="M43" s="148"/>
      <c r="N43" s="234"/>
      <c r="O43" s="148"/>
      <c r="P43" s="153">
        <f t="shared" si="18"/>
        <v>0</v>
      </c>
      <c r="Q43" s="228"/>
      <c r="R43" s="229"/>
      <c r="S43" s="52"/>
    </row>
    <row r="44" spans="2:22" s="100" customFormat="1" ht="17.100000000000001" customHeight="1" outlineLevel="1" thickBot="1">
      <c r="B44" s="235" t="s">
        <v>230</v>
      </c>
      <c r="C44" s="236" t="s">
        <v>231</v>
      </c>
      <c r="D44" s="237"/>
      <c r="E44" s="237"/>
      <c r="F44" s="237"/>
      <c r="G44" s="237"/>
      <c r="H44" s="238"/>
      <c r="I44" s="239"/>
      <c r="J44" s="240">
        <f t="shared" si="19"/>
        <v>0</v>
      </c>
      <c r="K44" s="241">
        <f t="shared" si="17"/>
        <v>0</v>
      </c>
      <c r="L44" s="242"/>
      <c r="M44" s="243"/>
      <c r="N44" s="244"/>
      <c r="O44" s="243"/>
      <c r="P44" s="245">
        <f t="shared" si="18"/>
        <v>0</v>
      </c>
      <c r="Q44" s="228"/>
      <c r="R44" s="229"/>
      <c r="S44" s="52"/>
    </row>
    <row r="45" spans="2:22" s="100" customFormat="1" ht="24.6" customHeight="1" outlineLevel="1" thickBot="1">
      <c r="B45" s="246"/>
      <c r="C45" s="247"/>
      <c r="E45" s="248"/>
      <c r="F45" s="248"/>
      <c r="G45" s="248"/>
      <c r="H45" s="53" t="s">
        <v>232</v>
      </c>
      <c r="I45" s="249">
        <f>IF(E7=0,0,I35/$E$7)</f>
        <v>315.78947368421052</v>
      </c>
      <c r="J45" s="249">
        <f>IF(E7-E8=0,0,J35/($E$7-$E$8))</f>
        <v>0</v>
      </c>
      <c r="K45" s="209">
        <f>IF($E$8=0,0,K35/$E$8)</f>
        <v>315.78947368421052</v>
      </c>
      <c r="L45" s="197"/>
      <c r="M45" s="197"/>
      <c r="N45" s="197"/>
      <c r="O45" s="197"/>
      <c r="P45" s="197"/>
      <c r="Q45" s="228"/>
      <c r="R45" s="229"/>
      <c r="S45" s="52"/>
      <c r="U45" s="52"/>
      <c r="V45" s="52"/>
    </row>
    <row r="46" spans="2:22" s="52" customFormat="1" ht="21.6" customHeight="1" thickBot="1">
      <c r="B46" s="122" t="s">
        <v>233</v>
      </c>
      <c r="C46" s="123"/>
      <c r="D46" s="124"/>
      <c r="E46" s="124"/>
      <c r="F46" s="124"/>
      <c r="G46" s="124"/>
      <c r="H46" s="250"/>
      <c r="I46" s="251">
        <f t="shared" ref="I46:P46" si="20">I35+I32+I20+I27</f>
        <v>112951.10429447853</v>
      </c>
      <c r="J46" s="251">
        <f t="shared" si="20"/>
        <v>0</v>
      </c>
      <c r="K46" s="252">
        <f t="shared" si="20"/>
        <v>112951.10429447853</v>
      </c>
      <c r="L46" s="251">
        <f t="shared" si="20"/>
        <v>0</v>
      </c>
      <c r="M46" s="251">
        <f t="shared" si="20"/>
        <v>0</v>
      </c>
      <c r="N46" s="251">
        <f t="shared" si="20"/>
        <v>0</v>
      </c>
      <c r="O46" s="251">
        <f t="shared" si="20"/>
        <v>0</v>
      </c>
      <c r="P46" s="253">
        <f t="shared" si="20"/>
        <v>0</v>
      </c>
      <c r="Q46" s="254">
        <f>IF($K$72=0,0,K46/$K$72)</f>
        <v>0.73256869536257441</v>
      </c>
      <c r="R46" s="132" t="s">
        <v>180</v>
      </c>
      <c r="S46" s="255"/>
      <c r="U46" s="49"/>
      <c r="V46" s="100"/>
    </row>
    <row r="47" spans="2:22" s="100" customFormat="1" ht="21" customHeight="1" thickBot="1">
      <c r="B47" s="256"/>
      <c r="C47" s="257"/>
      <c r="D47" s="257"/>
      <c r="E47" s="258"/>
      <c r="F47" s="258"/>
      <c r="G47" s="258"/>
      <c r="H47" s="259" t="s">
        <v>234</v>
      </c>
      <c r="I47" s="207">
        <f>IF(E7=0,0,I46/E7)</f>
        <v>5944.7949628672914</v>
      </c>
      <c r="J47" s="249">
        <f>IF((E7-E8)=0,0,J46/(E7-E8))</f>
        <v>0</v>
      </c>
      <c r="K47" s="260">
        <f>IF(E8=0,0,K46/E8)</f>
        <v>5944.7949628672914</v>
      </c>
      <c r="L47" s="197"/>
      <c r="M47" s="197"/>
      <c r="N47" s="197"/>
      <c r="O47" s="197"/>
      <c r="P47" s="197"/>
      <c r="Q47" s="261"/>
      <c r="R47" s="229"/>
      <c r="S47" s="52"/>
      <c r="T47" s="99"/>
      <c r="U47" s="49"/>
    </row>
    <row r="48" spans="2:22" s="100" customFormat="1" ht="12" customHeight="1" thickBot="1">
      <c r="B48" s="246"/>
      <c r="E48" s="248"/>
      <c r="F48" s="248"/>
      <c r="G48" s="248"/>
      <c r="H48" s="53"/>
      <c r="I48" s="207"/>
      <c r="J48" s="207"/>
      <c r="K48" s="262"/>
      <c r="L48" s="197"/>
      <c r="M48" s="197"/>
      <c r="N48" s="197"/>
      <c r="O48" s="197"/>
      <c r="P48" s="197"/>
      <c r="Q48" s="261"/>
      <c r="R48" s="229"/>
      <c r="S48" s="52"/>
      <c r="T48" s="99"/>
      <c r="U48" s="48"/>
      <c r="V48" s="48"/>
    </row>
    <row r="49" spans="1:22" s="48" customFormat="1" ht="51.75" thickBot="1">
      <c r="B49" s="263" t="s">
        <v>235</v>
      </c>
      <c r="C49" s="264" t="s">
        <v>236</v>
      </c>
      <c r="D49" s="265"/>
      <c r="E49" s="265"/>
      <c r="F49" s="265"/>
      <c r="G49" s="265"/>
      <c r="H49" s="114" t="s">
        <v>237</v>
      </c>
      <c r="I49" s="113" t="s">
        <v>172</v>
      </c>
      <c r="J49" s="114" t="s">
        <v>173</v>
      </c>
      <c r="K49" s="115" t="s">
        <v>238</v>
      </c>
      <c r="L49" s="266" t="str">
        <f>L13</f>
        <v>Lyon 2</v>
      </c>
      <c r="M49" s="114" t="str">
        <f>M13</f>
        <v>Partenaire 1</v>
      </c>
      <c r="N49" s="114" t="str">
        <f>N13</f>
        <v>Partenaire 2</v>
      </c>
      <c r="O49" s="114" t="str">
        <f>O13</f>
        <v>Partenaire 3</v>
      </c>
      <c r="P49" s="119" t="s">
        <v>0</v>
      </c>
      <c r="Q49" s="267"/>
      <c r="R49" s="121"/>
      <c r="U49" s="52"/>
      <c r="V49" s="52"/>
    </row>
    <row r="50" spans="1:22" s="52" customFormat="1" ht="19.7" customHeight="1" thickBot="1">
      <c r="B50" s="122" t="s">
        <v>239</v>
      </c>
      <c r="C50" s="123"/>
      <c r="D50" s="124"/>
      <c r="E50" s="124"/>
      <c r="F50" s="124"/>
      <c r="G50" s="124"/>
      <c r="H50" s="351"/>
      <c r="I50" s="127">
        <f>SUM(I51:I54)</f>
        <v>22724</v>
      </c>
      <c r="J50" s="128">
        <f>SUM(J51:J54)</f>
        <v>0</v>
      </c>
      <c r="K50" s="129">
        <f>SUM(K51:K54)</f>
        <v>22724</v>
      </c>
      <c r="L50" s="127">
        <f t="shared" ref="L50:P50" si="21">SUM(L51:L54)</f>
        <v>0</v>
      </c>
      <c r="M50" s="126">
        <f t="shared" si="21"/>
        <v>0</v>
      </c>
      <c r="N50" s="126">
        <f t="shared" si="21"/>
        <v>0</v>
      </c>
      <c r="O50" s="127">
        <f t="shared" si="21"/>
        <v>0</v>
      </c>
      <c r="P50" s="129">
        <f t="shared" si="21"/>
        <v>0</v>
      </c>
      <c r="Q50" s="162"/>
      <c r="R50" s="268"/>
    </row>
    <row r="51" spans="1:22" s="52" customFormat="1" ht="17.100000000000001" customHeight="1" outlineLevel="2">
      <c r="B51" s="269" t="s">
        <v>240</v>
      </c>
      <c r="C51" s="270" t="s">
        <v>241</v>
      </c>
      <c r="D51" s="271"/>
      <c r="E51" s="271"/>
      <c r="F51" s="271"/>
      <c r="G51" s="272"/>
      <c r="H51" s="145">
        <f>IF(H5="Formation courte",312/2,312)</f>
        <v>312</v>
      </c>
      <c r="I51" s="145">
        <f>H51*E8</f>
        <v>5928</v>
      </c>
      <c r="J51" s="146">
        <f t="shared" ref="J51:J54" si="22">I51-K51</f>
        <v>0</v>
      </c>
      <c r="K51" s="147">
        <f>I51</f>
        <v>5928</v>
      </c>
      <c r="L51" s="273"/>
      <c r="M51" s="274"/>
      <c r="N51" s="274"/>
      <c r="O51" s="275"/>
      <c r="P51" s="149">
        <f>SUM(L51:O51)</f>
        <v>0</v>
      </c>
      <c r="Q51" s="162"/>
      <c r="R51" s="229"/>
      <c r="U51" s="100"/>
      <c r="V51" s="100"/>
    </row>
    <row r="52" spans="1:22" s="100" customFormat="1" ht="18.75" customHeight="1" outlineLevel="2">
      <c r="B52" s="269" t="s">
        <v>242</v>
      </c>
      <c r="C52" s="276" t="s">
        <v>243</v>
      </c>
      <c r="D52" s="277"/>
      <c r="E52" s="277"/>
      <c r="F52" s="277"/>
      <c r="G52" s="278"/>
      <c r="H52" s="145">
        <f>IF(OR(H5="Diplôme Universitaire",H5="Formation courte"),708/500*Enseignements!H7,708)</f>
        <v>708</v>
      </c>
      <c r="I52" s="145">
        <f>H52*$E$7</f>
        <v>13452</v>
      </c>
      <c r="J52" s="146">
        <f>I52-K52</f>
        <v>0</v>
      </c>
      <c r="K52" s="147">
        <f>IF($E$7=0,0,I52/$E$7*$E$8)</f>
        <v>13452</v>
      </c>
      <c r="L52" s="273"/>
      <c r="M52" s="274"/>
      <c r="N52" s="274"/>
      <c r="O52" s="58"/>
      <c r="P52" s="153">
        <f>SUM(L52:O52)</f>
        <v>0</v>
      </c>
      <c r="Q52" s="104"/>
      <c r="R52" s="229"/>
      <c r="S52" s="52"/>
    </row>
    <row r="53" spans="1:22" s="100" customFormat="1" ht="18.75" customHeight="1" outlineLevel="2">
      <c r="B53" s="269" t="s">
        <v>244</v>
      </c>
      <c r="C53" s="94" t="s">
        <v>245</v>
      </c>
      <c r="D53" s="279"/>
      <c r="E53" s="279"/>
      <c r="F53" s="279"/>
      <c r="G53" s="279"/>
      <c r="H53" s="145">
        <f>IF(OR(H5="Diplôme Universitaire",H5="Formation courte"),90/500*Enseignements!H7,90)</f>
        <v>90</v>
      </c>
      <c r="I53" s="145">
        <f t="shared" ref="I53:I58" si="23">H53*$E$7</f>
        <v>1710</v>
      </c>
      <c r="J53" s="146">
        <f t="shared" si="22"/>
        <v>0</v>
      </c>
      <c r="K53" s="147">
        <f t="shared" ref="K53:K58" si="24">IF($E$7=0,0,I53/$E$7*$E$8)</f>
        <v>1710</v>
      </c>
      <c r="L53" s="273"/>
      <c r="M53" s="274"/>
      <c r="N53" s="274"/>
      <c r="O53" s="58"/>
      <c r="P53" s="153">
        <f>SUM(L53:O53)</f>
        <v>0</v>
      </c>
      <c r="Q53" s="104"/>
      <c r="R53" s="229"/>
      <c r="S53" s="52"/>
    </row>
    <row r="54" spans="1:22" s="100" customFormat="1" ht="18.75" customHeight="1" outlineLevel="2" thickBot="1">
      <c r="B54" s="269" t="s">
        <v>246</v>
      </c>
      <c r="C54" s="94" t="s">
        <v>247</v>
      </c>
      <c r="D54" s="279"/>
      <c r="E54" s="279"/>
      <c r="F54" s="279"/>
      <c r="G54" s="279"/>
      <c r="H54" s="145">
        <f>IF(OR(H5="Diplôme Universitaire",H5="Formation courte"),86/500*Enseignements!H7,86)</f>
        <v>86</v>
      </c>
      <c r="I54" s="145">
        <f t="shared" si="23"/>
        <v>1634</v>
      </c>
      <c r="J54" s="146">
        <f t="shared" si="22"/>
        <v>0</v>
      </c>
      <c r="K54" s="147">
        <f t="shared" si="24"/>
        <v>1634</v>
      </c>
      <c r="L54" s="273"/>
      <c r="M54" s="274"/>
      <c r="N54" s="274"/>
      <c r="O54" s="58"/>
      <c r="P54" s="153">
        <f>SUM(L54:O54)</f>
        <v>0</v>
      </c>
      <c r="Q54" s="104"/>
      <c r="R54" s="229"/>
      <c r="S54" s="52"/>
      <c r="U54" s="52"/>
      <c r="V54" s="52"/>
    </row>
    <row r="55" spans="1:22" s="52" customFormat="1" ht="19.350000000000001" customHeight="1" thickBot="1">
      <c r="B55" s="122" t="s">
        <v>248</v>
      </c>
      <c r="C55" s="123"/>
      <c r="D55" s="124"/>
      <c r="E55" s="124"/>
      <c r="F55" s="124"/>
      <c r="G55" s="124"/>
      <c r="H55" s="250"/>
      <c r="I55" s="127">
        <f>SUM(I56:I58)</f>
        <v>18316</v>
      </c>
      <c r="J55" s="128">
        <f>SUM(J56:J58)</f>
        <v>0</v>
      </c>
      <c r="K55" s="129">
        <f>SUM(K56:K58)</f>
        <v>18316</v>
      </c>
      <c r="L55" s="127">
        <f t="shared" ref="L55:P55" si="25">SUM(L56:L58)</f>
        <v>0</v>
      </c>
      <c r="M55" s="126">
        <f t="shared" si="25"/>
        <v>0</v>
      </c>
      <c r="N55" s="126">
        <f t="shared" si="25"/>
        <v>0</v>
      </c>
      <c r="O55" s="127">
        <f t="shared" si="25"/>
        <v>0</v>
      </c>
      <c r="P55" s="129">
        <f t="shared" si="25"/>
        <v>0</v>
      </c>
      <c r="Q55" s="280"/>
      <c r="R55" s="229"/>
    </row>
    <row r="56" spans="1:22" s="52" customFormat="1" ht="17.100000000000001" customHeight="1" outlineLevel="1">
      <c r="B56" s="76" t="s">
        <v>249</v>
      </c>
      <c r="C56" s="230" t="s">
        <v>250</v>
      </c>
      <c r="D56" s="231"/>
      <c r="E56" s="231"/>
      <c r="F56" s="231"/>
      <c r="G56" s="231"/>
      <c r="H56" s="145">
        <f>IF(OR(H5="Diplôme Universitaire",H5="Formation courte"),222/500*Enseignements!H7,222)</f>
        <v>222</v>
      </c>
      <c r="I56" s="145">
        <f t="shared" si="23"/>
        <v>4218</v>
      </c>
      <c r="J56" s="146">
        <f t="shared" ref="J56:J58" si="26">I56-K56</f>
        <v>0</v>
      </c>
      <c r="K56" s="147">
        <f t="shared" si="24"/>
        <v>4218</v>
      </c>
      <c r="L56" s="273"/>
      <c r="M56" s="274"/>
      <c r="N56" s="274"/>
      <c r="O56" s="58"/>
      <c r="P56" s="153">
        <f>SUM(L56:O56)</f>
        <v>0</v>
      </c>
      <c r="Q56" s="104"/>
      <c r="R56" s="281"/>
    </row>
    <row r="57" spans="1:22" s="52" customFormat="1" ht="17.100000000000001" customHeight="1" outlineLevel="1">
      <c r="B57" s="76" t="s">
        <v>251</v>
      </c>
      <c r="C57" s="230" t="s">
        <v>252</v>
      </c>
      <c r="D57" s="231"/>
      <c r="E57" s="231"/>
      <c r="F57" s="231"/>
      <c r="G57" s="231"/>
      <c r="H57" s="145">
        <f>IF(OR(H5="Diplôme Universitaire",H5="Formation courte"),550/500*Enseignements!H7,550)</f>
        <v>550</v>
      </c>
      <c r="I57" s="145">
        <f t="shared" si="23"/>
        <v>10450</v>
      </c>
      <c r="J57" s="146">
        <f t="shared" si="26"/>
        <v>0</v>
      </c>
      <c r="K57" s="147">
        <f t="shared" si="24"/>
        <v>10450</v>
      </c>
      <c r="L57" s="273"/>
      <c r="M57" s="274"/>
      <c r="N57" s="274"/>
      <c r="O57" s="58"/>
      <c r="P57" s="153">
        <f>SUM(L57:O57)</f>
        <v>0</v>
      </c>
      <c r="Q57" s="104"/>
      <c r="R57" s="229"/>
    </row>
    <row r="58" spans="1:22" s="52" customFormat="1" ht="17.100000000000001" customHeight="1" outlineLevel="1" thickBot="1">
      <c r="B58" s="76" t="s">
        <v>253</v>
      </c>
      <c r="C58" s="230" t="s">
        <v>254</v>
      </c>
      <c r="D58" s="231"/>
      <c r="E58" s="231"/>
      <c r="F58" s="231"/>
      <c r="G58" s="231"/>
      <c r="H58" s="145">
        <f>IF(OR(H5="Diplôme Universitaire",H5="Formation courte"),192/500*Enseignements!H7,192)</f>
        <v>192</v>
      </c>
      <c r="I58" s="145">
        <f t="shared" si="23"/>
        <v>3648</v>
      </c>
      <c r="J58" s="146">
        <f t="shared" si="26"/>
        <v>0</v>
      </c>
      <c r="K58" s="147">
        <f t="shared" si="24"/>
        <v>3648</v>
      </c>
      <c r="L58" s="273"/>
      <c r="M58" s="274"/>
      <c r="N58" s="274"/>
      <c r="O58" s="58"/>
      <c r="P58" s="153">
        <f>SUM(L58:O58)</f>
        <v>0</v>
      </c>
      <c r="Q58" s="104"/>
      <c r="R58" s="229"/>
    </row>
    <row r="59" spans="1:22" s="52" customFormat="1" ht="21.6" customHeight="1" thickBot="1">
      <c r="B59" s="122" t="s">
        <v>255</v>
      </c>
      <c r="C59" s="123"/>
      <c r="D59" s="124"/>
      <c r="E59" s="124"/>
      <c r="F59" s="124"/>
      <c r="G59" s="124"/>
      <c r="H59" s="250"/>
      <c r="I59" s="127">
        <f>I50+I55</f>
        <v>41040</v>
      </c>
      <c r="J59" s="128">
        <f>J50+J55</f>
        <v>0</v>
      </c>
      <c r="K59" s="129">
        <f>K50+K55</f>
        <v>41040</v>
      </c>
      <c r="L59" s="127">
        <f t="shared" ref="L59:P59" si="27">L50+L55</f>
        <v>0</v>
      </c>
      <c r="M59" s="126">
        <f t="shared" si="27"/>
        <v>0</v>
      </c>
      <c r="N59" s="126">
        <f t="shared" si="27"/>
        <v>0</v>
      </c>
      <c r="O59" s="127">
        <f t="shared" si="27"/>
        <v>0</v>
      </c>
      <c r="P59" s="129">
        <f t="shared" si="27"/>
        <v>0</v>
      </c>
      <c r="Q59" s="131">
        <f>IF($K$72=0,0,K59/$K$72)</f>
        <v>0.26617375231053603</v>
      </c>
      <c r="R59" s="282" t="s">
        <v>180</v>
      </c>
      <c r="S59" s="283">
        <f>IF((K59+K46)=0,0,K59/(K59+K46))</f>
        <v>0.26650890119937609</v>
      </c>
      <c r="T59" s="132" t="s">
        <v>256</v>
      </c>
      <c r="U59" s="49"/>
    </row>
    <row r="60" spans="1:22" ht="21" customHeight="1" thickBot="1">
      <c r="A60" s="52"/>
      <c r="B60" s="256"/>
      <c r="C60" s="284"/>
      <c r="D60" s="284"/>
      <c r="E60" s="258"/>
      <c r="F60" s="258"/>
      <c r="G60" s="258"/>
      <c r="H60" s="53" t="s">
        <v>257</v>
      </c>
      <c r="I60" s="249">
        <f>IF(E7=0,0,I59/E7)</f>
        <v>2160</v>
      </c>
      <c r="J60" s="249">
        <f>IF((E7-E8)=0,0,J59/(E7-E8))</f>
        <v>0</v>
      </c>
      <c r="K60" s="260">
        <f>IF(E8=0,0,K59/E8)</f>
        <v>2160</v>
      </c>
      <c r="L60" s="197"/>
      <c r="M60" s="197"/>
      <c r="N60" s="197"/>
      <c r="O60" s="197"/>
      <c r="P60" s="197"/>
      <c r="Q60" s="52"/>
      <c r="R60" s="52"/>
      <c r="S60" s="52"/>
      <c r="T60" s="99"/>
      <c r="U60" s="52"/>
      <c r="V60" s="52"/>
    </row>
    <row r="61" spans="1:22" s="52" customFormat="1" ht="13.35" customHeight="1" thickBot="1">
      <c r="B61" s="285"/>
      <c r="C61" s="286"/>
      <c r="D61" s="286"/>
      <c r="E61" s="286"/>
      <c r="F61" s="286"/>
      <c r="G61" s="286"/>
      <c r="H61" s="286"/>
      <c r="I61" s="287"/>
      <c r="J61" s="287"/>
      <c r="K61" s="288"/>
      <c r="L61" s="289"/>
      <c r="M61" s="289"/>
      <c r="N61" s="289"/>
      <c r="O61" s="289"/>
      <c r="P61" s="289"/>
      <c r="Q61" s="290"/>
      <c r="R61" s="48"/>
    </row>
    <row r="62" spans="1:22" s="52" customFormat="1" ht="24.6" customHeight="1" thickBot="1">
      <c r="B62" s="291" t="s">
        <v>258</v>
      </c>
      <c r="C62" s="291"/>
      <c r="D62" s="292"/>
      <c r="E62" s="293"/>
      <c r="F62" s="292"/>
      <c r="G62" s="294"/>
      <c r="H62" s="295"/>
      <c r="I62" s="296">
        <f>I59+I46</f>
        <v>153991.10429447854</v>
      </c>
      <c r="J62" s="296">
        <f>J59+J46</f>
        <v>0</v>
      </c>
      <c r="K62" s="297">
        <f>K59+K46</f>
        <v>153991.10429447854</v>
      </c>
      <c r="L62" s="296">
        <f t="shared" ref="L62:O62" si="28">L59+L46</f>
        <v>0</v>
      </c>
      <c r="M62" s="296">
        <f t="shared" si="28"/>
        <v>0</v>
      </c>
      <c r="N62" s="296">
        <f t="shared" si="28"/>
        <v>0</v>
      </c>
      <c r="O62" s="296">
        <f t="shared" si="28"/>
        <v>0</v>
      </c>
      <c r="P62" s="297">
        <f>P59+P46</f>
        <v>0</v>
      </c>
      <c r="Q62" s="131">
        <f>IF($K$72=0,0,K62/$K$72)</f>
        <v>0.99874244767311049</v>
      </c>
      <c r="R62" s="132" t="s">
        <v>180</v>
      </c>
      <c r="U62" s="100"/>
      <c r="V62" s="100"/>
    </row>
    <row r="63" spans="1:22" s="100" customFormat="1" ht="18.75" customHeight="1">
      <c r="B63" s="190"/>
      <c r="C63" s="271"/>
      <c r="D63" s="298"/>
      <c r="E63" s="298"/>
      <c r="F63" s="298"/>
      <c r="G63" s="299"/>
      <c r="H63" s="299" t="s">
        <v>259</v>
      </c>
      <c r="I63" s="300">
        <f>IF(E7=0,0,I62/$E$7)</f>
        <v>8104.7949628672914</v>
      </c>
      <c r="J63" s="301">
        <f>IF(($E$7-$E$8)=0,0,J62/($E$7-$E$8))</f>
        <v>0</v>
      </c>
      <c r="K63" s="302">
        <f>IF(E8=0,0,K62/$E$8)</f>
        <v>8104.7949628672914</v>
      </c>
      <c r="L63" s="303"/>
      <c r="M63" s="303"/>
      <c r="N63" s="303"/>
      <c r="O63" s="304"/>
      <c r="P63" s="304"/>
      <c r="Q63" s="104"/>
      <c r="R63" s="229"/>
      <c r="S63" s="52"/>
    </row>
    <row r="64" spans="1:22" s="100" customFormat="1" ht="18.600000000000001" customHeight="1" thickBot="1">
      <c r="B64" s="202"/>
      <c r="C64" s="305"/>
      <c r="D64" s="306"/>
      <c r="E64" s="306"/>
      <c r="F64" s="306"/>
      <c r="G64" s="307"/>
      <c r="H64" s="307" t="s">
        <v>260</v>
      </c>
      <c r="I64" s="240">
        <f t="shared" ref="I64:P64" si="29">IF(I33=0,0,I62/I33)</f>
        <v>220.30200900497647</v>
      </c>
      <c r="J64" s="240">
        <f t="shared" si="29"/>
        <v>0</v>
      </c>
      <c r="K64" s="240">
        <f t="shared" si="29"/>
        <v>220.30200900497647</v>
      </c>
      <c r="L64" s="240">
        <f t="shared" si="29"/>
        <v>0</v>
      </c>
      <c r="M64" s="240">
        <f t="shared" si="29"/>
        <v>0</v>
      </c>
      <c r="N64" s="240">
        <f t="shared" si="29"/>
        <v>0</v>
      </c>
      <c r="O64" s="240">
        <f t="shared" si="29"/>
        <v>0</v>
      </c>
      <c r="P64" s="348">
        <f t="shared" si="29"/>
        <v>0</v>
      </c>
      <c r="Q64" s="349"/>
      <c r="R64" s="229"/>
      <c r="S64" s="52"/>
      <c r="U64" s="52"/>
      <c r="V64" s="52"/>
    </row>
    <row r="65" spans="2:24" ht="13.5" thickBot="1">
      <c r="B65" s="308"/>
      <c r="C65" s="308"/>
      <c r="D65" s="308"/>
      <c r="E65" s="308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309"/>
      <c r="R65" s="48"/>
      <c r="S65" s="52"/>
      <c r="T65" s="52"/>
      <c r="U65" s="48"/>
      <c r="V65" s="52"/>
      <c r="W65" s="52"/>
      <c r="X65" s="52"/>
    </row>
    <row r="66" spans="2:24" ht="24.6" customHeight="1" thickBot="1">
      <c r="B66" s="486" t="s">
        <v>261</v>
      </c>
      <c r="C66" s="487"/>
      <c r="D66" s="487"/>
      <c r="E66" s="487"/>
      <c r="F66" s="487"/>
      <c r="G66" s="487"/>
      <c r="H66" s="487"/>
      <c r="I66" s="487"/>
      <c r="J66" s="487"/>
      <c r="K66" s="488"/>
      <c r="L66" s="105"/>
      <c r="M66" s="106"/>
      <c r="N66" s="106"/>
      <c r="O66" s="106"/>
      <c r="P66" s="107"/>
      <c r="Q66" s="48"/>
      <c r="R66" s="48"/>
      <c r="S66" s="52"/>
      <c r="T66" s="48"/>
      <c r="U66" s="52"/>
      <c r="V66" s="52"/>
      <c r="W66" s="52"/>
      <c r="X66" s="52"/>
    </row>
    <row r="67" spans="2:24" ht="7.5" customHeight="1" thickBot="1">
      <c r="B67" s="310"/>
      <c r="C67" s="52"/>
      <c r="D67" s="52"/>
      <c r="E67" s="52"/>
      <c r="F67" s="52"/>
      <c r="G67" s="52"/>
      <c r="H67" s="89"/>
      <c r="I67" s="311"/>
      <c r="J67" s="311"/>
      <c r="K67" s="312"/>
      <c r="L67" s="313"/>
      <c r="M67" s="313"/>
      <c r="N67" s="313"/>
      <c r="O67" s="313"/>
      <c r="P67" s="313"/>
      <c r="Q67" s="50"/>
      <c r="R67" s="48"/>
      <c r="S67" s="52"/>
      <c r="T67" s="52"/>
      <c r="U67" s="48"/>
      <c r="V67" s="48"/>
      <c r="W67" s="52"/>
      <c r="X67" s="52"/>
    </row>
    <row r="68" spans="2:24" s="48" customFormat="1" ht="51.75" thickBot="1">
      <c r="B68" s="263" t="s">
        <v>262</v>
      </c>
      <c r="C68" s="264" t="s">
        <v>263</v>
      </c>
      <c r="D68" s="265"/>
      <c r="E68" s="265"/>
      <c r="F68" s="265"/>
      <c r="G68" s="265"/>
      <c r="H68" s="314"/>
      <c r="I68" s="315" t="s">
        <v>172</v>
      </c>
      <c r="J68" s="114" t="s">
        <v>173</v>
      </c>
      <c r="K68" s="115" t="s">
        <v>238</v>
      </c>
      <c r="L68" s="266" t="s">
        <v>175</v>
      </c>
      <c r="M68" s="113" t="s">
        <v>176</v>
      </c>
      <c r="N68" s="113" t="s">
        <v>177</v>
      </c>
      <c r="O68" s="316" t="s">
        <v>178</v>
      </c>
      <c r="P68" s="317" t="s">
        <v>0</v>
      </c>
      <c r="Q68" s="267"/>
      <c r="R68" s="121"/>
      <c r="U68" s="52"/>
      <c r="V68" s="52"/>
    </row>
    <row r="69" spans="2:24" ht="24" customHeight="1">
      <c r="B69" s="218" t="s">
        <v>264</v>
      </c>
      <c r="C69" s="270" t="s">
        <v>265</v>
      </c>
      <c r="D69" s="318"/>
      <c r="E69" s="318"/>
      <c r="F69" s="318"/>
      <c r="G69" s="318"/>
      <c r="H69" s="319"/>
      <c r="I69" s="320">
        <f>J69+K69</f>
        <v>154185</v>
      </c>
      <c r="J69" s="320">
        <f>'Recettes et simulat'!G16</f>
        <v>0</v>
      </c>
      <c r="K69" s="321">
        <f>'Recettes et simulat'!J28</f>
        <v>154185</v>
      </c>
      <c r="L69" s="224"/>
      <c r="M69" s="225"/>
      <c r="N69" s="322"/>
      <c r="O69" s="322"/>
      <c r="P69" s="227">
        <f>SUM(L69:O69)</f>
        <v>0</v>
      </c>
      <c r="Q69" s="48"/>
      <c r="R69" s="48"/>
      <c r="S69" s="52"/>
      <c r="T69" s="52"/>
      <c r="U69" s="52"/>
      <c r="V69" s="52"/>
      <c r="W69" s="52"/>
      <c r="X69" s="48"/>
    </row>
    <row r="70" spans="2:24" ht="27" customHeight="1" thickBot="1">
      <c r="B70" s="235" t="s">
        <v>266</v>
      </c>
      <c r="C70" s="236" t="s">
        <v>267</v>
      </c>
      <c r="D70" s="323"/>
      <c r="E70" s="323"/>
      <c r="F70" s="323"/>
      <c r="G70" s="323"/>
      <c r="H70" s="324"/>
      <c r="I70" s="325">
        <f>J70+K70</f>
        <v>0</v>
      </c>
      <c r="J70" s="326"/>
      <c r="K70" s="327">
        <f>'Recettes et simulat'!F39</f>
        <v>0</v>
      </c>
      <c r="L70" s="242"/>
      <c r="M70" s="243"/>
      <c r="N70" s="243"/>
      <c r="O70" s="328"/>
      <c r="P70" s="245">
        <f>SUM(L70:O70)</f>
        <v>0</v>
      </c>
      <c r="Q70" s="48"/>
      <c r="R70" s="48"/>
      <c r="S70" s="52"/>
      <c r="T70" s="52"/>
      <c r="U70" s="52"/>
      <c r="V70" s="52"/>
      <c r="W70" s="52"/>
      <c r="X70" s="48"/>
    </row>
    <row r="71" spans="2:24" ht="11.45" customHeight="1" thickBot="1">
      <c r="B71" s="329"/>
      <c r="C71" s="330"/>
      <c r="D71" s="331"/>
      <c r="E71" s="330"/>
      <c r="F71" s="331"/>
      <c r="G71" s="331"/>
      <c r="H71" s="331"/>
      <c r="I71" s="332"/>
      <c r="J71" s="332"/>
      <c r="K71" s="333"/>
      <c r="L71" s="332"/>
      <c r="M71" s="332"/>
      <c r="N71" s="332"/>
      <c r="O71" s="332"/>
      <c r="P71" s="332"/>
      <c r="Q71" s="334"/>
      <c r="R71" s="335"/>
      <c r="S71" s="336"/>
      <c r="T71" s="52"/>
      <c r="U71" s="52"/>
      <c r="V71" s="52"/>
      <c r="W71" s="52"/>
      <c r="X71" s="48"/>
    </row>
    <row r="72" spans="2:24" s="52" customFormat="1" ht="24.6" customHeight="1" thickBot="1">
      <c r="B72" s="291" t="s">
        <v>268</v>
      </c>
      <c r="C72" s="291"/>
      <c r="D72" s="292"/>
      <c r="E72" s="293"/>
      <c r="F72" s="292"/>
      <c r="G72" s="294"/>
      <c r="H72" s="295"/>
      <c r="I72" s="296">
        <f>I69+I70</f>
        <v>154185</v>
      </c>
      <c r="J72" s="296">
        <f>J69+J70</f>
        <v>0</v>
      </c>
      <c r="K72" s="297">
        <f>K69+K70</f>
        <v>154185</v>
      </c>
      <c r="L72" s="296">
        <f t="shared" ref="L72:O72" si="30">L69+L70</f>
        <v>0</v>
      </c>
      <c r="M72" s="296">
        <f t="shared" si="30"/>
        <v>0</v>
      </c>
      <c r="N72" s="296">
        <f t="shared" si="30"/>
        <v>0</v>
      </c>
      <c r="O72" s="296">
        <f t="shared" si="30"/>
        <v>0</v>
      </c>
      <c r="P72" s="297">
        <f>P69+P70</f>
        <v>0</v>
      </c>
      <c r="U72" s="100"/>
      <c r="V72" s="100"/>
      <c r="X72" s="48"/>
    </row>
    <row r="73" spans="2:24" s="100" customFormat="1" ht="18" customHeight="1" thickBot="1">
      <c r="B73" s="256"/>
      <c r="C73" s="284"/>
      <c r="D73" s="337"/>
      <c r="E73" s="337"/>
      <c r="F73" s="337"/>
      <c r="G73" s="338"/>
      <c r="H73" s="338" t="s">
        <v>269</v>
      </c>
      <c r="I73" s="339"/>
      <c r="J73" s="339"/>
      <c r="K73" s="340">
        <f>IF(E8=0,0,K72/$E$8)</f>
        <v>8115</v>
      </c>
      <c r="L73" s="303"/>
      <c r="M73" s="303"/>
      <c r="N73" s="303"/>
      <c r="O73" s="304"/>
      <c r="P73" s="304"/>
      <c r="Q73" s="104"/>
      <c r="R73" s="229"/>
      <c r="S73" s="52"/>
    </row>
    <row r="74" spans="2:24" s="52" customFormat="1" ht="13.5" thickBot="1">
      <c r="C74" s="308"/>
      <c r="D74" s="308"/>
      <c r="E74" s="308"/>
      <c r="F74" s="308"/>
      <c r="G74" s="308"/>
      <c r="H74" s="308"/>
      <c r="I74" s="341"/>
      <c r="J74" s="341"/>
      <c r="K74" s="341"/>
      <c r="L74" s="341"/>
      <c r="M74" s="341"/>
      <c r="N74" s="341"/>
      <c r="O74" s="341"/>
      <c r="P74" s="341"/>
      <c r="Q74" s="49"/>
      <c r="R74" s="48"/>
    </row>
    <row r="75" spans="2:24" s="52" customFormat="1" ht="24.6" customHeight="1" thickBot="1">
      <c r="B75" s="291" t="s">
        <v>270</v>
      </c>
      <c r="C75" s="291"/>
      <c r="D75" s="292"/>
      <c r="E75" s="293"/>
      <c r="F75" s="292"/>
      <c r="G75" s="294"/>
      <c r="H75" s="295"/>
      <c r="I75" s="296">
        <f t="shared" ref="I75:P75" si="31">I72-I62</f>
        <v>193.89570552145597</v>
      </c>
      <c r="J75" s="296">
        <f t="shared" si="31"/>
        <v>0</v>
      </c>
      <c r="K75" s="297">
        <f t="shared" si="31"/>
        <v>193.89570552145597</v>
      </c>
      <c r="L75" s="296">
        <f t="shared" si="31"/>
        <v>0</v>
      </c>
      <c r="M75" s="296">
        <f t="shared" si="31"/>
        <v>0</v>
      </c>
      <c r="N75" s="296">
        <f t="shared" si="31"/>
        <v>0</v>
      </c>
      <c r="O75" s="296">
        <f t="shared" si="31"/>
        <v>0</v>
      </c>
      <c r="P75" s="297">
        <f t="shared" si="31"/>
        <v>0</v>
      </c>
      <c r="Q75" s="131">
        <f>IF($K$72=0,0,K75/$K$72)</f>
        <v>1.2575523268894898E-3</v>
      </c>
      <c r="R75" s="132" t="s">
        <v>180</v>
      </c>
      <c r="U75" s="100"/>
      <c r="V75" s="100"/>
      <c r="X75" s="48"/>
    </row>
    <row r="76" spans="2:24" s="52" customFormat="1" ht="14.45" hidden="1" customHeight="1" thickBot="1">
      <c r="B76" s="291" t="s">
        <v>271</v>
      </c>
      <c r="C76" s="291"/>
      <c r="D76" s="292"/>
      <c r="E76" s="293"/>
      <c r="F76" s="292"/>
      <c r="G76" s="294"/>
      <c r="H76" s="295"/>
      <c r="I76" s="296">
        <f>'Budget détaillé heures comp'!I75</f>
        <v>78471.501411042947</v>
      </c>
      <c r="J76" s="296">
        <f>'Budget détaillé heures comp'!J75</f>
        <v>0</v>
      </c>
      <c r="K76" s="297">
        <f>'Budget détaillé heures comp'!K75</f>
        <v>78471.501411042947</v>
      </c>
      <c r="L76" s="296"/>
      <c r="M76" s="296"/>
      <c r="N76" s="296"/>
      <c r="O76" s="296"/>
      <c r="P76" s="297"/>
      <c r="Q76" s="131">
        <f>IF($K$72=0,0,K76/$K$72)</f>
        <v>0.50894381042930859</v>
      </c>
      <c r="R76" s="132" t="s">
        <v>180</v>
      </c>
      <c r="U76" s="100"/>
      <c r="V76" s="100"/>
      <c r="X76" s="48"/>
    </row>
    <row r="77" spans="2:24">
      <c r="B77" s="52"/>
      <c r="C77" s="52"/>
      <c r="D77" s="52"/>
      <c r="E77" s="52"/>
      <c r="F77" s="52"/>
      <c r="G77" s="52"/>
      <c r="H77" s="89"/>
      <c r="I77" s="90"/>
      <c r="J77" s="91"/>
      <c r="K77" s="89"/>
      <c r="L77" s="89"/>
      <c r="M77" s="89"/>
      <c r="N77" s="89"/>
      <c r="O77" s="89"/>
      <c r="P77" s="89"/>
      <c r="Q77" s="48"/>
      <c r="R77" s="48"/>
      <c r="S77" s="52"/>
      <c r="T77" s="52"/>
      <c r="U77" s="52"/>
      <c r="V77" s="52"/>
      <c r="W77" s="52"/>
      <c r="X77" s="52"/>
    </row>
  </sheetData>
  <sheetProtection algorithmName="SHA-512" hashValue="VZ96SJ6OryXiRnqwIx2cXKwYi9SbfUjbvcly4J9A6bw2SGhDB7J+SKC+0MC7v+LcvVVewTDNe2mQ1vFndbOKWg==" saltValue="AdGPIZb+jYJnhq+E8NwSfw==" spinCount="100000" sheet="1" autoFilter="0"/>
  <mergeCells count="23">
    <mergeCell ref="B27:F27"/>
    <mergeCell ref="C29:F29"/>
    <mergeCell ref="C30:F30"/>
    <mergeCell ref="B32:F32"/>
    <mergeCell ref="B66:K66"/>
    <mergeCell ref="C26:F26"/>
    <mergeCell ref="H7:K7"/>
    <mergeCell ref="B11:K11"/>
    <mergeCell ref="C13:F13"/>
    <mergeCell ref="C16:F16"/>
    <mergeCell ref="C17:F17"/>
    <mergeCell ref="C18:F18"/>
    <mergeCell ref="C19:F19"/>
    <mergeCell ref="B20:F20"/>
    <mergeCell ref="C23:F23"/>
    <mergeCell ref="C24:F24"/>
    <mergeCell ref="C25:F25"/>
    <mergeCell ref="B2:K2"/>
    <mergeCell ref="L2:P2"/>
    <mergeCell ref="D5:E5"/>
    <mergeCell ref="H5:K5"/>
    <mergeCell ref="D6:E6"/>
    <mergeCell ref="H6:K6"/>
  </mergeCells>
  <printOptions horizontalCentered="1" verticalCentered="1"/>
  <pageMargins left="0.25" right="0.25" top="0.75" bottom="0.75" header="0.3" footer="0.3"/>
  <pageSetup paperSize="8" scale="76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R32"/>
  <sheetViews>
    <sheetView zoomScale="85" zoomScaleNormal="85" workbookViewId="0"/>
  </sheetViews>
  <sheetFormatPr defaultColWidth="11.42578125" defaultRowHeight="12.75"/>
  <cols>
    <col min="1" max="1" width="2.85546875" style="1" customWidth="1"/>
    <col min="2" max="2" width="11.42578125" style="1"/>
    <col min="3" max="3" width="34.85546875" style="1" bestFit="1" customWidth="1"/>
    <col min="4" max="4" width="9.140625" style="1" customWidth="1"/>
    <col min="5" max="5" width="15.140625" style="1" hidden="1" customWidth="1"/>
    <col min="6" max="6" width="5.42578125" style="1" hidden="1" customWidth="1"/>
    <col min="7" max="7" width="11.42578125" style="1"/>
    <col min="8" max="8" width="59.140625" style="1" bestFit="1" customWidth="1"/>
    <col min="9" max="16384" width="11.42578125" style="1"/>
  </cols>
  <sheetData>
    <row r="3" spans="2:8">
      <c r="B3" s="539" t="s">
        <v>272</v>
      </c>
      <c r="C3" s="540"/>
      <c r="D3" s="540"/>
      <c r="E3" s="4"/>
      <c r="F3" s="4"/>
      <c r="H3" s="8" t="s">
        <v>273</v>
      </c>
    </row>
    <row r="4" spans="2:8">
      <c r="C4" s="6"/>
      <c r="D4" s="6"/>
      <c r="E4" s="6"/>
      <c r="F4" s="7"/>
    </row>
    <row r="5" spans="2:8" ht="15">
      <c r="E5" s="1" t="s">
        <v>274</v>
      </c>
      <c r="F5" s="438" t="s">
        <v>275</v>
      </c>
    </row>
    <row r="6" spans="2:8" ht="15">
      <c r="B6" s="538" t="s">
        <v>276</v>
      </c>
      <c r="C6" s="4" t="s">
        <v>277</v>
      </c>
      <c r="D6" s="3" t="s">
        <v>36</v>
      </c>
      <c r="E6" s="3">
        <v>1</v>
      </c>
      <c r="F6" s="3">
        <v>1.5</v>
      </c>
      <c r="H6" s="5" t="s">
        <v>278</v>
      </c>
    </row>
    <row r="7" spans="2:8" ht="15">
      <c r="B7" s="538"/>
      <c r="C7" s="4" t="s">
        <v>279</v>
      </c>
      <c r="D7" s="352" t="s">
        <v>48</v>
      </c>
      <c r="E7" s="3">
        <v>1</v>
      </c>
      <c r="F7" s="3">
        <v>1</v>
      </c>
      <c r="H7" s="5" t="s">
        <v>280</v>
      </c>
    </row>
    <row r="8" spans="2:8" ht="15">
      <c r="B8" s="538"/>
      <c r="C8" s="5" t="s">
        <v>281</v>
      </c>
      <c r="D8" s="352" t="s">
        <v>282</v>
      </c>
      <c r="E8" s="3">
        <v>1</v>
      </c>
      <c r="F8" s="3">
        <v>0.66</v>
      </c>
      <c r="H8" s="5" t="s">
        <v>283</v>
      </c>
    </row>
    <row r="9" spans="2:8" ht="15">
      <c r="B9" s="538" t="s">
        <v>284</v>
      </c>
      <c r="C9" s="4" t="s">
        <v>285</v>
      </c>
      <c r="D9" s="352" t="s">
        <v>286</v>
      </c>
      <c r="E9" s="352">
        <v>0</v>
      </c>
      <c r="F9" s="3">
        <v>0</v>
      </c>
      <c r="H9" s="5" t="s">
        <v>287</v>
      </c>
    </row>
    <row r="10" spans="2:8" ht="15">
      <c r="B10" s="538"/>
      <c r="C10" s="5" t="s">
        <v>288</v>
      </c>
      <c r="D10" s="352" t="s">
        <v>289</v>
      </c>
      <c r="E10" s="3">
        <v>1</v>
      </c>
      <c r="F10" s="3">
        <v>1</v>
      </c>
      <c r="H10" s="5" t="s">
        <v>290</v>
      </c>
    </row>
    <row r="11" spans="2:8" ht="15">
      <c r="B11" s="538"/>
      <c r="C11" s="5" t="s">
        <v>291</v>
      </c>
      <c r="D11" s="352" t="s">
        <v>292</v>
      </c>
      <c r="E11" s="3">
        <v>1</v>
      </c>
      <c r="F11" s="3">
        <v>1.5</v>
      </c>
      <c r="H11" s="5" t="s">
        <v>293</v>
      </c>
    </row>
    <row r="12" spans="2:8" ht="15">
      <c r="B12" s="538"/>
      <c r="C12" s="4" t="s">
        <v>294</v>
      </c>
      <c r="D12" s="352" t="s">
        <v>107</v>
      </c>
      <c r="E12" s="3">
        <v>0</v>
      </c>
      <c r="F12" s="3">
        <v>0</v>
      </c>
      <c r="H12" s="5" t="s">
        <v>295</v>
      </c>
    </row>
    <row r="13" spans="2:8" ht="15">
      <c r="B13" s="538"/>
      <c r="C13" s="5" t="s">
        <v>296</v>
      </c>
      <c r="D13" s="352" t="s">
        <v>297</v>
      </c>
      <c r="E13" s="3">
        <v>1</v>
      </c>
      <c r="F13" s="3">
        <v>1</v>
      </c>
      <c r="H13" s="5" t="s">
        <v>298</v>
      </c>
    </row>
    <row r="14" spans="2:8" ht="15">
      <c r="B14" s="538"/>
      <c r="C14" s="5" t="s">
        <v>299</v>
      </c>
      <c r="D14" s="352" t="s">
        <v>300</v>
      </c>
      <c r="E14" s="3">
        <v>1</v>
      </c>
      <c r="F14" s="3">
        <v>1.5</v>
      </c>
      <c r="H14" s="5" t="s">
        <v>301</v>
      </c>
    </row>
    <row r="15" spans="2:8" ht="15">
      <c r="B15" s="538"/>
      <c r="C15" s="4" t="s">
        <v>302</v>
      </c>
      <c r="D15" s="352" t="s">
        <v>83</v>
      </c>
      <c r="E15" s="3">
        <v>0</v>
      </c>
      <c r="F15" s="3">
        <v>0</v>
      </c>
      <c r="H15" s="5" t="s">
        <v>303</v>
      </c>
    </row>
    <row r="16" spans="2:8" ht="15">
      <c r="B16" s="538"/>
      <c r="C16" s="5" t="s">
        <v>304</v>
      </c>
      <c r="D16" s="352" t="s">
        <v>77</v>
      </c>
      <c r="E16" s="3">
        <v>1</v>
      </c>
      <c r="F16" s="3">
        <v>1</v>
      </c>
      <c r="H16" s="5" t="s">
        <v>305</v>
      </c>
    </row>
    <row r="17" spans="2:18" ht="15">
      <c r="B17" s="538"/>
      <c r="C17" s="5" t="s">
        <v>306</v>
      </c>
      <c r="D17" s="352" t="s">
        <v>307</v>
      </c>
      <c r="E17" s="3">
        <v>1</v>
      </c>
      <c r="F17" s="3">
        <v>1.5</v>
      </c>
      <c r="H17" s="5" t="s">
        <v>122</v>
      </c>
    </row>
    <row r="18" spans="2:18" ht="15">
      <c r="B18" s="538"/>
      <c r="C18" s="4" t="s">
        <v>308</v>
      </c>
      <c r="D18" s="352" t="s">
        <v>99</v>
      </c>
      <c r="E18" s="3">
        <v>0</v>
      </c>
      <c r="F18" s="3">
        <v>0</v>
      </c>
      <c r="H18" s="2"/>
    </row>
    <row r="19" spans="2:18" ht="15">
      <c r="B19" s="538"/>
      <c r="C19" s="5" t="s">
        <v>309</v>
      </c>
      <c r="D19" s="352" t="s">
        <v>310</v>
      </c>
      <c r="E19" s="3">
        <v>1</v>
      </c>
      <c r="F19" s="3">
        <v>1</v>
      </c>
      <c r="H19" s="2"/>
    </row>
    <row r="20" spans="2:18" ht="15">
      <c r="B20" s="538"/>
      <c r="C20" s="5" t="s">
        <v>311</v>
      </c>
      <c r="D20" s="352" t="s">
        <v>312</v>
      </c>
      <c r="E20" s="3">
        <v>1</v>
      </c>
      <c r="F20" s="3">
        <v>1.5</v>
      </c>
    </row>
    <row r="21" spans="2:18" ht="15">
      <c r="B21" s="538"/>
      <c r="C21" s="4" t="s">
        <v>313</v>
      </c>
      <c r="D21" s="352" t="s">
        <v>314</v>
      </c>
      <c r="E21" s="3">
        <v>1</v>
      </c>
      <c r="F21" s="3">
        <v>1</v>
      </c>
    </row>
    <row r="22" spans="2:18" ht="15">
      <c r="B22" s="538"/>
      <c r="C22" s="4" t="s">
        <v>315</v>
      </c>
      <c r="D22" s="352" t="s">
        <v>316</v>
      </c>
      <c r="E22" s="3">
        <v>0</v>
      </c>
      <c r="F22" s="3">
        <v>0</v>
      </c>
    </row>
    <row r="23" spans="2:18" ht="15">
      <c r="B23" s="538"/>
      <c r="C23" s="5" t="s">
        <v>317</v>
      </c>
      <c r="D23" s="352" t="s">
        <v>318</v>
      </c>
      <c r="E23" s="352">
        <v>1</v>
      </c>
      <c r="F23" s="3">
        <v>1</v>
      </c>
    </row>
    <row r="24" spans="2:18" ht="15">
      <c r="B24" s="538"/>
      <c r="C24" s="5" t="s">
        <v>319</v>
      </c>
      <c r="D24" s="5" t="s">
        <v>320</v>
      </c>
      <c r="E24" s="4">
        <v>1</v>
      </c>
      <c r="F24" s="3">
        <v>1.5</v>
      </c>
    </row>
    <row r="25" spans="2:18" ht="15">
      <c r="B25" s="538"/>
      <c r="C25" s="4" t="s">
        <v>321</v>
      </c>
      <c r="D25" s="5" t="s">
        <v>322</v>
      </c>
      <c r="E25" s="5">
        <v>0</v>
      </c>
      <c r="F25" s="3">
        <v>0</v>
      </c>
    </row>
    <row r="26" spans="2:18">
      <c r="B26" s="538"/>
      <c r="C26" s="5" t="s">
        <v>323</v>
      </c>
      <c r="D26" s="5" t="s">
        <v>324</v>
      </c>
      <c r="E26" s="5">
        <v>1</v>
      </c>
      <c r="F26" s="4">
        <v>1</v>
      </c>
    </row>
    <row r="27" spans="2:18">
      <c r="B27" s="538"/>
      <c r="C27" s="5" t="s">
        <v>325</v>
      </c>
      <c r="D27" s="5" t="s">
        <v>326</v>
      </c>
      <c r="E27" s="5">
        <v>1</v>
      </c>
      <c r="F27" s="4">
        <v>1.5</v>
      </c>
    </row>
    <row r="31" spans="2:18">
      <c r="R31" s="100"/>
    </row>
    <row r="32" spans="2:18">
      <c r="R32" s="100"/>
    </row>
  </sheetData>
  <sheetProtection algorithmName="SHA-512" hashValue="WPkP5BhIpZL/Ymu+guFovuYFHNj9UGRsZlF3fsh4aT4W4pi+0YWMT2VMH028DGK67BGomZ0FM9h21S+Fzj4z0g==" saltValue="tjaCvWOj3r+3IuPL5o2Few==" spinCount="100000" sheet="1" objects="1" scenarios="1"/>
  <sortState xmlns:xlrd2="http://schemas.microsoft.com/office/spreadsheetml/2017/richdata2" ref="H6:H16">
    <sortCondition ref="H6"/>
  </sortState>
  <mergeCells count="3">
    <mergeCell ref="B6:B8"/>
    <mergeCell ref="B9:B27"/>
    <mergeCell ref="B3:D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76"/>
  <sheetViews>
    <sheetView showGridLines="0" showZeros="0" zoomScale="85" zoomScaleNormal="85" zoomScaleSheetLayoutView="70" workbookViewId="0">
      <pane ySplit="9" topLeftCell="A19" activePane="bottomLeft" state="frozen"/>
      <selection pane="bottomLeft" activeCell="X38" sqref="X37:X38"/>
    </sheetView>
  </sheetViews>
  <sheetFormatPr defaultColWidth="11.42578125" defaultRowHeight="12.75" outlineLevelRow="2" outlineLevelCol="1"/>
  <cols>
    <col min="1" max="1" width="1.140625" customWidth="1"/>
    <col min="2" max="2" width="5.7109375" customWidth="1"/>
    <col min="3" max="3" width="14.7109375" customWidth="1"/>
    <col min="4" max="4" width="16.42578125" customWidth="1"/>
    <col min="5" max="5" width="14.7109375" customWidth="1"/>
    <col min="6" max="6" width="4.7109375" customWidth="1"/>
    <col min="7" max="7" width="10.85546875" customWidth="1"/>
    <col min="8" max="11" width="11" customWidth="1"/>
    <col min="12" max="16" width="11" hidden="1" customWidth="1" outlineLevel="1"/>
    <col min="17" max="17" width="9.28515625" customWidth="1" collapsed="1"/>
    <col min="18" max="18" width="6.85546875" customWidth="1"/>
    <col min="19" max="19" width="6.140625" customWidth="1"/>
    <col min="20" max="20" width="11.28515625" bestFit="1" customWidth="1"/>
    <col min="21" max="21" width="24.42578125" bestFit="1" customWidth="1"/>
  </cols>
  <sheetData>
    <row r="1" spans="1:22" ht="7.35" customHeight="1" thickBot="1">
      <c r="A1" s="52"/>
      <c r="B1" s="52"/>
      <c r="C1" s="52"/>
      <c r="D1" s="52"/>
      <c r="E1" s="52"/>
      <c r="F1" s="52"/>
      <c r="G1" s="52"/>
      <c r="H1" s="89"/>
      <c r="I1" s="90"/>
      <c r="J1" s="91"/>
      <c r="K1" s="89"/>
      <c r="L1" s="89"/>
      <c r="M1" s="89"/>
      <c r="N1" s="89"/>
      <c r="O1" s="89"/>
      <c r="P1" s="89"/>
      <c r="Q1" s="48"/>
      <c r="R1" s="48"/>
      <c r="S1" s="52"/>
      <c r="T1" s="52"/>
      <c r="U1" s="52"/>
      <c r="V1" s="52"/>
    </row>
    <row r="2" spans="1:22" ht="28.35" customHeight="1" thickBot="1">
      <c r="A2" s="52"/>
      <c r="B2" s="486" t="s">
        <v>164</v>
      </c>
      <c r="C2" s="487"/>
      <c r="D2" s="487"/>
      <c r="E2" s="487"/>
      <c r="F2" s="487"/>
      <c r="G2" s="487"/>
      <c r="H2" s="487"/>
      <c r="I2" s="487"/>
      <c r="J2" s="487"/>
      <c r="K2" s="488"/>
      <c r="L2" s="486" t="s">
        <v>165</v>
      </c>
      <c r="M2" s="487"/>
      <c r="N2" s="487"/>
      <c r="O2" s="487"/>
      <c r="P2" s="488"/>
      <c r="Q2" s="48"/>
      <c r="R2" s="48"/>
      <c r="S2" s="52"/>
      <c r="T2" s="52"/>
      <c r="U2" s="52"/>
      <c r="V2" s="52"/>
    </row>
    <row r="3" spans="1:22" ht="6.75" customHeight="1">
      <c r="A3" s="5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48"/>
      <c r="R3" s="48"/>
      <c r="S3" s="52"/>
      <c r="T3" s="52"/>
      <c r="U3" s="52"/>
      <c r="V3" s="52"/>
    </row>
    <row r="4" spans="1:22" ht="5.25" customHeight="1">
      <c r="A4" s="52"/>
      <c r="B4" s="52"/>
      <c r="C4" s="52"/>
      <c r="D4" s="52"/>
      <c r="E4" s="52"/>
      <c r="F4" s="89"/>
      <c r="G4" s="89"/>
      <c r="H4" s="89"/>
      <c r="I4" s="89"/>
      <c r="J4" s="91"/>
      <c r="K4" s="89"/>
      <c r="L4" s="89"/>
      <c r="M4" s="89"/>
      <c r="N4" s="89"/>
      <c r="O4" s="89"/>
      <c r="P4" s="89"/>
      <c r="Q4" s="48"/>
      <c r="R4" s="48"/>
      <c r="S4" s="52"/>
      <c r="T4" s="52"/>
      <c r="U4" s="52"/>
      <c r="V4" s="52"/>
    </row>
    <row r="5" spans="1:22" ht="22.35" customHeight="1">
      <c r="A5" s="52"/>
      <c r="B5" s="52"/>
      <c r="C5" s="93" t="s">
        <v>113</v>
      </c>
      <c r="D5" s="526" t="str">
        <f>'Recettes et simulat'!D4</f>
        <v>Université Lumière Lyon 2</v>
      </c>
      <c r="E5" s="527"/>
      <c r="F5" s="52"/>
      <c r="G5" s="93" t="s">
        <v>115</v>
      </c>
      <c r="H5" s="526" t="str">
        <f>'Recettes et simulat'!H4</f>
        <v>Master</v>
      </c>
      <c r="I5" s="528"/>
      <c r="J5" s="528"/>
      <c r="K5" s="527"/>
      <c r="L5" s="89"/>
      <c r="M5" s="89"/>
      <c r="N5" s="89"/>
      <c r="O5" s="89"/>
      <c r="P5" s="89"/>
      <c r="Q5" s="48"/>
      <c r="R5" s="48"/>
      <c r="S5" s="52"/>
      <c r="T5" s="52"/>
      <c r="U5" s="56" t="s">
        <v>123</v>
      </c>
      <c r="V5" s="52"/>
    </row>
    <row r="6" spans="1:22" ht="22.35" customHeight="1">
      <c r="A6" s="52"/>
      <c r="B6" s="52"/>
      <c r="C6" s="92" t="s">
        <v>117</v>
      </c>
      <c r="D6" s="526">
        <f>'Recettes et simulat'!D5</f>
        <v>31470</v>
      </c>
      <c r="E6" s="527"/>
      <c r="F6" s="52"/>
      <c r="G6" s="93" t="s">
        <v>166</v>
      </c>
      <c r="H6" s="526" t="str">
        <f>'Recettes et simulat'!H5</f>
        <v>Urbanisme et Aménagement
Développement urbain et territorial en Alternance</v>
      </c>
      <c r="I6" s="528"/>
      <c r="J6" s="528"/>
      <c r="K6" s="527"/>
      <c r="L6" s="89"/>
      <c r="M6" s="89"/>
      <c r="N6" s="89"/>
      <c r="O6" s="89"/>
      <c r="P6" s="89"/>
      <c r="Q6" s="48"/>
      <c r="R6" s="48"/>
      <c r="S6" s="52"/>
      <c r="T6" s="52"/>
      <c r="U6" s="52"/>
      <c r="V6" s="52"/>
    </row>
    <row r="7" spans="1:22" ht="22.35" customHeight="1">
      <c r="A7" s="52"/>
      <c r="B7" s="52"/>
      <c r="C7" s="94" t="s">
        <v>120</v>
      </c>
      <c r="D7" s="95"/>
      <c r="E7" s="96">
        <f>'Recettes et simulat'!E6</f>
        <v>19</v>
      </c>
      <c r="F7" s="52"/>
      <c r="G7" s="93" t="s">
        <v>121</v>
      </c>
      <c r="H7" s="526" t="str">
        <f>'Recettes et simulat'!H6</f>
        <v>TT - Temps et Territoires</v>
      </c>
      <c r="I7" s="528"/>
      <c r="J7" s="528"/>
      <c r="K7" s="527"/>
      <c r="L7" s="89"/>
      <c r="M7" s="89"/>
      <c r="N7" s="89"/>
      <c r="O7" s="89"/>
      <c r="P7" s="89"/>
      <c r="Q7" s="48"/>
      <c r="R7" s="48"/>
      <c r="S7" s="52"/>
      <c r="T7" s="52"/>
      <c r="U7" s="52"/>
      <c r="V7" s="52"/>
    </row>
    <row r="8" spans="1:22" ht="22.35" customHeight="1">
      <c r="A8" s="52"/>
      <c r="B8" s="52"/>
      <c r="C8" s="94" t="s">
        <v>124</v>
      </c>
      <c r="D8" s="95"/>
      <c r="E8" s="96">
        <f>'Recettes et simulat'!E7</f>
        <v>19</v>
      </c>
      <c r="F8" s="52"/>
      <c r="G8" s="57" t="s">
        <v>125</v>
      </c>
      <c r="H8" s="52"/>
      <c r="I8" s="52"/>
      <c r="J8" s="97">
        <f>'Recettes et simulat'!J7</f>
        <v>2023</v>
      </c>
      <c r="K8" s="97">
        <f>'Recettes et simulat'!K7</f>
        <v>2024</v>
      </c>
      <c r="L8" s="52"/>
      <c r="M8" s="52"/>
      <c r="N8" s="52"/>
      <c r="O8" s="52"/>
      <c r="P8" s="52"/>
      <c r="Q8" s="48"/>
      <c r="R8" s="48"/>
      <c r="S8" s="52"/>
      <c r="T8" s="52"/>
      <c r="U8" s="52"/>
      <c r="V8" s="52"/>
    </row>
    <row r="9" spans="1:22" ht="22.35" customHeight="1">
      <c r="A9" s="52"/>
      <c r="B9" s="52"/>
      <c r="C9" s="52"/>
      <c r="D9" s="52"/>
      <c r="E9" s="52"/>
      <c r="F9" s="52"/>
      <c r="G9" s="98"/>
      <c r="H9" s="52"/>
      <c r="I9" s="52"/>
      <c r="J9" s="52"/>
      <c r="K9" s="52"/>
      <c r="L9" s="52"/>
      <c r="M9" s="52"/>
      <c r="N9" s="52"/>
      <c r="O9" s="52"/>
      <c r="P9" s="52"/>
      <c r="Q9" s="48"/>
      <c r="R9" s="48"/>
      <c r="S9" s="52"/>
      <c r="T9" s="52"/>
      <c r="U9" s="99"/>
      <c r="V9" s="99"/>
    </row>
    <row r="10" spans="1:22" s="100" customFormat="1" ht="17.100000000000001" customHeight="1" thickBot="1">
      <c r="C10" s="101"/>
      <c r="D10" s="101"/>
      <c r="E10" s="101"/>
      <c r="F10" s="101"/>
      <c r="G10" s="102"/>
      <c r="H10" s="102"/>
      <c r="I10" s="103"/>
      <c r="Q10" s="48"/>
      <c r="R10" s="104"/>
      <c r="S10" s="52"/>
      <c r="T10" s="99"/>
      <c r="U10" s="48"/>
      <c r="V10" s="52"/>
    </row>
    <row r="11" spans="1:22" ht="24.6" customHeight="1" thickBot="1">
      <c r="A11" s="52"/>
      <c r="B11" s="486" t="s">
        <v>167</v>
      </c>
      <c r="C11" s="487"/>
      <c r="D11" s="487"/>
      <c r="E11" s="487"/>
      <c r="F11" s="487"/>
      <c r="G11" s="487"/>
      <c r="H11" s="487"/>
      <c r="I11" s="487"/>
      <c r="J11" s="487"/>
      <c r="K11" s="488"/>
      <c r="L11" s="105"/>
      <c r="M11" s="106"/>
      <c r="N11" s="106"/>
      <c r="O11" s="106"/>
      <c r="P11" s="107"/>
      <c r="Q11" s="48"/>
      <c r="R11" s="48"/>
      <c r="S11" s="52"/>
      <c r="T11" s="48"/>
      <c r="U11" s="48"/>
      <c r="V11" s="48"/>
    </row>
    <row r="12" spans="1:22" s="48" customFormat="1" ht="12.6" customHeight="1" thickBot="1">
      <c r="B12" s="108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10"/>
      <c r="V12" s="52"/>
    </row>
    <row r="13" spans="1:22" s="52" customFormat="1" ht="64.5" thickBot="1">
      <c r="B13" s="111" t="s">
        <v>168</v>
      </c>
      <c r="C13" s="532" t="s">
        <v>169</v>
      </c>
      <c r="D13" s="533"/>
      <c r="E13" s="533"/>
      <c r="F13" s="534"/>
      <c r="G13" s="112" t="s">
        <v>170</v>
      </c>
      <c r="H13" s="113" t="s">
        <v>171</v>
      </c>
      <c r="I13" s="113" t="s">
        <v>172</v>
      </c>
      <c r="J13" s="114" t="s">
        <v>173</v>
      </c>
      <c r="K13" s="115" t="s">
        <v>174</v>
      </c>
      <c r="L13" s="116" t="s">
        <v>175</v>
      </c>
      <c r="M13" s="117" t="s">
        <v>176</v>
      </c>
      <c r="N13" s="117" t="s">
        <v>177</v>
      </c>
      <c r="O13" s="118" t="s">
        <v>178</v>
      </c>
      <c r="P13" s="119" t="s">
        <v>0</v>
      </c>
      <c r="Q13" s="120"/>
      <c r="R13" s="121"/>
      <c r="T13" s="48"/>
      <c r="U13" s="48"/>
      <c r="V13" s="100"/>
    </row>
    <row r="14" spans="1:22" s="100" customFormat="1" ht="21.6" customHeight="1" thickBot="1">
      <c r="B14" s="122" t="s">
        <v>179</v>
      </c>
      <c r="C14" s="123"/>
      <c r="D14" s="124"/>
      <c r="E14" s="124"/>
      <c r="F14" s="124"/>
      <c r="G14" s="125">
        <f>G20+G27+G32</f>
        <v>699</v>
      </c>
      <c r="H14" s="126">
        <f>IF(G20+G27+G32=0,0,(I20+I27+I32)/(G20+G27+G32))</f>
        <v>41.020741901226117</v>
      </c>
      <c r="I14" s="127">
        <f>I20+I32+I27</f>
        <v>28673.498588957053</v>
      </c>
      <c r="J14" s="128">
        <f>J20+J32+J27</f>
        <v>0</v>
      </c>
      <c r="K14" s="129">
        <f>K20+K32+K27</f>
        <v>28673.498588957053</v>
      </c>
      <c r="L14" s="130">
        <f>L20+L32+L27</f>
        <v>0</v>
      </c>
      <c r="M14" s="126">
        <f>M20+M32+M27</f>
        <v>0</v>
      </c>
      <c r="N14" s="127">
        <f t="shared" ref="N14:O14" si="0">N20+N32+N27</f>
        <v>0</v>
      </c>
      <c r="O14" s="126">
        <f t="shared" si="0"/>
        <v>0</v>
      </c>
      <c r="P14" s="129">
        <f>P20+P32+P27</f>
        <v>0</v>
      </c>
      <c r="Q14" s="131">
        <f>IF($K$72=0,0,K14/$K$72)</f>
        <v>0.18596814598668518</v>
      </c>
      <c r="R14" s="132" t="s">
        <v>180</v>
      </c>
      <c r="S14" s="52"/>
      <c r="T14" s="48"/>
      <c r="U14" s="48"/>
      <c r="V14" s="52"/>
    </row>
    <row r="15" spans="1:22" s="52" customFormat="1" ht="17.100000000000001" customHeight="1" outlineLevel="1">
      <c r="B15" s="133" t="s">
        <v>181</v>
      </c>
      <c r="C15" s="134" t="s">
        <v>182</v>
      </c>
      <c r="D15" s="135"/>
      <c r="E15" s="135"/>
      <c r="F15" s="136"/>
      <c r="G15" s="137"/>
      <c r="H15" s="138"/>
      <c r="I15" s="137"/>
      <c r="J15" s="137"/>
      <c r="K15" s="139"/>
      <c r="L15" s="140"/>
      <c r="M15" s="138"/>
      <c r="N15" s="138"/>
      <c r="O15" s="138"/>
      <c r="P15" s="139"/>
      <c r="Q15" s="141"/>
      <c r="R15" s="142"/>
      <c r="S15" s="142"/>
      <c r="T15" s="142"/>
      <c r="U15" s="67"/>
      <c r="V15" s="100"/>
    </row>
    <row r="16" spans="1:22" s="100" customFormat="1" ht="17.100000000000001" customHeight="1" outlineLevel="1">
      <c r="B16" s="143" t="s">
        <v>183</v>
      </c>
      <c r="C16" s="529" t="s">
        <v>23</v>
      </c>
      <c r="D16" s="530"/>
      <c r="E16" s="530"/>
      <c r="F16" s="531"/>
      <c r="G16" s="144">
        <f>'Budget détaillé'!G16</f>
        <v>218</v>
      </c>
      <c r="H16" s="145">
        <v>43.48</v>
      </c>
      <c r="I16" s="146">
        <f>H16*G16</f>
        <v>9478.64</v>
      </c>
      <c r="J16" s="146">
        <f>I16-K16</f>
        <v>0</v>
      </c>
      <c r="K16" s="147">
        <f>IF($E$7=0,0,I16/$E$7*$E$8)</f>
        <v>9478.64</v>
      </c>
      <c r="L16" s="148"/>
      <c r="M16" s="58"/>
      <c r="N16" s="58"/>
      <c r="O16" s="58"/>
      <c r="P16" s="149">
        <f>SUM(L16:O16)</f>
        <v>0</v>
      </c>
      <c r="Q16" s="150">
        <f>IF($I16=0,0,$G16*$J16/$I16)</f>
        <v>0</v>
      </c>
      <c r="R16" s="150">
        <f>IF($I16=0,0,IF($P16=0,0,$G16*$J16/$I16*L16/$P16))</f>
        <v>0</v>
      </c>
      <c r="S16" s="150">
        <f t="shared" ref="S16:U19" si="1">IF($I16=0,0,IF($P16=0,0,$G16*$J16/$I16*M16/$P16))</f>
        <v>0</v>
      </c>
      <c r="T16" s="150">
        <f t="shared" si="1"/>
        <v>0</v>
      </c>
      <c r="U16" s="150">
        <f>IF($I16=0,0,IF($P16=0,0,$G16*$J16/$I16*O16/$P16))</f>
        <v>0</v>
      </c>
      <c r="V16" s="151">
        <f>G16-Q16</f>
        <v>218</v>
      </c>
    </row>
    <row r="17" spans="2:23" s="100" customFormat="1" ht="17.100000000000001" customHeight="1" outlineLevel="1">
      <c r="B17" s="143" t="s">
        <v>184</v>
      </c>
      <c r="C17" s="529" t="s">
        <v>24</v>
      </c>
      <c r="D17" s="530"/>
      <c r="E17" s="530"/>
      <c r="F17" s="531"/>
      <c r="G17" s="144">
        <f>'Budget détaillé'!G17</f>
        <v>0</v>
      </c>
      <c r="H17" s="350">
        <f>ROUND(41.41*1.4319,2)</f>
        <v>59.29</v>
      </c>
      <c r="I17" s="152">
        <f>H17*G17</f>
        <v>0</v>
      </c>
      <c r="J17" s="146">
        <f t="shared" ref="J17:J19" si="2">I17-K17</f>
        <v>0</v>
      </c>
      <c r="K17" s="147">
        <f t="shared" ref="K17:K19" si="3">IF($E$7=0,0,I17/$E$7*$E$8)</f>
        <v>0</v>
      </c>
      <c r="L17" s="148"/>
      <c r="M17" s="58"/>
      <c r="N17" s="58"/>
      <c r="O17" s="58"/>
      <c r="P17" s="153">
        <f>SUM(L17:O17)</f>
        <v>0</v>
      </c>
      <c r="Q17" s="150">
        <f>IF($I17=0,0,$G17*$J17/$I17)</f>
        <v>0</v>
      </c>
      <c r="R17" s="150">
        <f t="shared" ref="R17:R19" si="4">IF($I17=0,0,IF($P17=0,0,$G17*$J17/$I17*L17/$P17))</f>
        <v>0</v>
      </c>
      <c r="S17" s="150">
        <f t="shared" si="1"/>
        <v>0</v>
      </c>
      <c r="T17" s="150">
        <f t="shared" si="1"/>
        <v>0</v>
      </c>
      <c r="U17" s="150">
        <f t="shared" si="1"/>
        <v>0</v>
      </c>
      <c r="V17" s="151">
        <f t="shared" ref="V17:V18" si="5">G17-Q17</f>
        <v>0</v>
      </c>
    </row>
    <row r="18" spans="2:23" s="100" customFormat="1" ht="16.7" customHeight="1" outlineLevel="1">
      <c r="B18" s="143" t="s">
        <v>185</v>
      </c>
      <c r="C18" s="529" t="s">
        <v>186</v>
      </c>
      <c r="D18" s="530"/>
      <c r="E18" s="530"/>
      <c r="F18" s="531"/>
      <c r="G18" s="144">
        <f>'Budget détaillé'!G18</f>
        <v>271</v>
      </c>
      <c r="H18" s="145">
        <v>52</v>
      </c>
      <c r="I18" s="152">
        <f>H18*G18</f>
        <v>14092</v>
      </c>
      <c r="J18" s="146">
        <f t="shared" si="2"/>
        <v>0</v>
      </c>
      <c r="K18" s="147">
        <f t="shared" si="3"/>
        <v>14092</v>
      </c>
      <c r="L18" s="148"/>
      <c r="M18" s="58"/>
      <c r="N18" s="58"/>
      <c r="O18" s="58"/>
      <c r="P18" s="153">
        <f>SUM(L18:O18)</f>
        <v>0</v>
      </c>
      <c r="Q18" s="150">
        <f>IF($I18=0,0,$G18*$J18/$I18)</f>
        <v>0</v>
      </c>
      <c r="R18" s="150">
        <f>IF($I18=0,0,IF($P18=0,0,$G18*$J18/$I18*L18/$P18))</f>
        <v>0</v>
      </c>
      <c r="S18" s="150">
        <f t="shared" si="1"/>
        <v>0</v>
      </c>
      <c r="T18" s="150">
        <f t="shared" si="1"/>
        <v>0</v>
      </c>
      <c r="U18" s="150">
        <f t="shared" si="1"/>
        <v>0</v>
      </c>
      <c r="V18" s="151">
        <f t="shared" si="5"/>
        <v>271</v>
      </c>
    </row>
    <row r="19" spans="2:23" s="100" customFormat="1" ht="18.600000000000001" customHeight="1" outlineLevel="1">
      <c r="B19" s="143" t="s">
        <v>187</v>
      </c>
      <c r="C19" s="529" t="s">
        <v>188</v>
      </c>
      <c r="D19" s="530"/>
      <c r="E19" s="530"/>
      <c r="F19" s="531"/>
      <c r="G19" s="144">
        <f>'Budget détaillé'!G19</f>
        <v>0</v>
      </c>
      <c r="H19" s="154">
        <f>'Budget détaillé'!H19</f>
        <v>0</v>
      </c>
      <c r="I19" s="152">
        <f t="shared" ref="I19" si="6">H19*G19</f>
        <v>0</v>
      </c>
      <c r="J19" s="146">
        <f t="shared" si="2"/>
        <v>0</v>
      </c>
      <c r="K19" s="147">
        <f t="shared" si="3"/>
        <v>0</v>
      </c>
      <c r="L19" s="148"/>
      <c r="M19" s="148"/>
      <c r="N19" s="155"/>
      <c r="O19" s="58"/>
      <c r="P19" s="153">
        <f>SUM(L19:O19)</f>
        <v>0</v>
      </c>
      <c r="Q19" s="150">
        <f>IF($I19=0,0,$G19*$J19/$I19)</f>
        <v>0</v>
      </c>
      <c r="R19" s="150">
        <f t="shared" si="4"/>
        <v>0</v>
      </c>
      <c r="S19" s="150">
        <f>IF($I19=0,0,IF($P19=0,0,$G19*$J19/$I19*M19/$P19))</f>
        <v>0</v>
      </c>
      <c r="T19" s="150">
        <f t="shared" si="1"/>
        <v>0</v>
      </c>
      <c r="U19" s="150">
        <f t="shared" si="1"/>
        <v>0</v>
      </c>
      <c r="V19" s="151">
        <f>G19-Q19</f>
        <v>0</v>
      </c>
    </row>
    <row r="20" spans="2:23" s="100" customFormat="1" ht="22.35" customHeight="1" outlineLevel="1" thickBot="1">
      <c r="B20" s="535" t="s">
        <v>189</v>
      </c>
      <c r="C20" s="536"/>
      <c r="D20" s="536"/>
      <c r="E20" s="536"/>
      <c r="F20" s="537"/>
      <c r="G20" s="156">
        <f>SUM(G16:G19)</f>
        <v>489</v>
      </c>
      <c r="H20" s="157">
        <f>IF(G20=0,0,I20/G20)</f>
        <v>48.201717791411042</v>
      </c>
      <c r="I20" s="158">
        <f>SUM(I16:I19)</f>
        <v>23570.639999999999</v>
      </c>
      <c r="J20" s="159">
        <f>SUM(J16:J19)</f>
        <v>0</v>
      </c>
      <c r="K20" s="160">
        <f>SUM(K16:K19)</f>
        <v>23570.639999999999</v>
      </c>
      <c r="L20" s="161">
        <f>SUM(L16:L19)</f>
        <v>0</v>
      </c>
      <c r="M20" s="158">
        <f>SUM(M16:M19)</f>
        <v>0</v>
      </c>
      <c r="N20" s="158">
        <f t="shared" ref="N20:P20" si="7">SUM(N16:N19)</f>
        <v>0</v>
      </c>
      <c r="O20" s="158">
        <f t="shared" si="7"/>
        <v>0</v>
      </c>
      <c r="P20" s="160">
        <f t="shared" si="7"/>
        <v>0</v>
      </c>
      <c r="Q20" s="131">
        <f>IF($K$72=0,0,K20/$K$72)</f>
        <v>0.15287245841035119</v>
      </c>
      <c r="R20" s="132" t="s">
        <v>180</v>
      </c>
      <c r="S20" s="52"/>
      <c r="T20" s="48"/>
      <c r="U20" s="48"/>
      <c r="V20" s="52"/>
    </row>
    <row r="21" spans="2:23" s="52" customFormat="1" ht="17.100000000000001" customHeight="1" outlineLevel="1">
      <c r="B21" s="133" t="s">
        <v>190</v>
      </c>
      <c r="C21" s="134" t="s">
        <v>191</v>
      </c>
      <c r="D21" s="135"/>
      <c r="E21" s="135"/>
      <c r="F21" s="136"/>
      <c r="G21" s="137"/>
      <c r="H21" s="138"/>
      <c r="I21" s="137"/>
      <c r="J21" s="137"/>
      <c r="K21" s="139"/>
      <c r="L21" s="140"/>
      <c r="M21" s="138"/>
      <c r="N21" s="138"/>
      <c r="O21" s="138"/>
      <c r="P21" s="139"/>
      <c r="Q21" s="162"/>
      <c r="R21" s="48"/>
      <c r="S21" s="48"/>
      <c r="T21" s="48"/>
      <c r="U21" s="100"/>
      <c r="V21" s="100"/>
    </row>
    <row r="22" spans="2:23" s="100" customFormat="1" ht="17.100000000000001" customHeight="1" outlineLevel="1">
      <c r="B22" s="143" t="s">
        <v>192</v>
      </c>
      <c r="C22" s="163" t="s">
        <v>193</v>
      </c>
      <c r="D22" s="164"/>
      <c r="E22" s="164"/>
      <c r="F22" s="165"/>
      <c r="G22" s="144">
        <f>'Budget détaillé'!G22</f>
        <v>0</v>
      </c>
      <c r="H22" s="145">
        <f>IF(G22=0,0,(SUMIF(Enseignements!$G$8:$G$89,Paramétrage!#REF!,Enseignements!U$8:U$89)*$H$16+SUMIF(Enseignements!$G$8:$G$89,Paramétrage!#REF!,Enseignements!V$8:V$89)*$H$17+SUMIF(Enseignements!$G$8:$G$89,Paramétrage!#REF!,Enseignements!W$8:W$89)*$H$18+SUMIF(Enseignements!$G$8:$G$89,Paramétrage!#REF!,Enseignements!X$8:X$89)*$H$19)/G22)</f>
        <v>0</v>
      </c>
      <c r="I22" s="146">
        <f>H22*G22</f>
        <v>0</v>
      </c>
      <c r="J22" s="152">
        <f>I22-K22</f>
        <v>0</v>
      </c>
      <c r="K22" s="147">
        <f t="shared" ref="K22" si="8">IF($E$7=0,0,I22/$E$7*$E$8)</f>
        <v>0</v>
      </c>
      <c r="L22" s="148"/>
      <c r="M22" s="155"/>
      <c r="N22" s="155"/>
      <c r="O22" s="58"/>
      <c r="P22" s="149">
        <f>SUM(L22:O22)</f>
        <v>0</v>
      </c>
      <c r="Q22" s="150">
        <f>IF($I22=0,0,$G22*$J22/$I22)</f>
        <v>0</v>
      </c>
      <c r="R22" s="150">
        <f t="shared" ref="R22:T26" si="9">IF($I22=0,0,IF($P22=0,0,$G22*$J22/$I22*L22/$P22))</f>
        <v>0</v>
      </c>
      <c r="S22" s="150">
        <f t="shared" si="9"/>
        <v>0</v>
      </c>
      <c r="T22" s="150">
        <f>IF($I22=0,0,IF($P22=0,0,$G22*$J22/$I22*N22/$P22))</f>
        <v>0</v>
      </c>
      <c r="U22" s="150">
        <f t="shared" ref="U22:U26" si="10">IF($I22=0,0,IF($P22=0,0,$G22*$J22/$I22*O22/$P22))</f>
        <v>0</v>
      </c>
      <c r="V22" s="150">
        <f t="shared" ref="V22:V30" si="11">G22-Q22</f>
        <v>0</v>
      </c>
      <c r="W22" s="67"/>
    </row>
    <row r="23" spans="2:23" s="100" customFormat="1" ht="17.100000000000001" customHeight="1" outlineLevel="1">
      <c r="B23" s="143" t="s">
        <v>194</v>
      </c>
      <c r="C23" s="529" t="s">
        <v>195</v>
      </c>
      <c r="D23" s="530"/>
      <c r="E23" s="530"/>
      <c r="F23" s="531"/>
      <c r="G23" s="144">
        <f>'Budget détaillé'!G23</f>
        <v>95</v>
      </c>
      <c r="H23" s="145">
        <f>IF(G23=0,0,(SUMIF(Enseignements!$G$8:$G$89,Paramétrage!$D$17,Enseignements!U$8:U$89)*$H$16+SUMIF(Enseignements!$G$8:$G$89,Paramétrage!$D$17,Enseignements!V$8:V$89)*$H$17+SUMIF(Enseignements!$G$8:$G$89,Paramétrage!$D$17,Enseignements!W$8:W$89)*$H$18+SUMIF(Enseignements!$G$8:$G$89,Paramétrage!$D$17,Enseignements!X$8:X$89)*$H$19)/G23)</f>
        <v>0</v>
      </c>
      <c r="I23" s="146">
        <f>H23*G23</f>
        <v>0</v>
      </c>
      <c r="J23" s="146">
        <f>I23-K23</f>
        <v>0</v>
      </c>
      <c r="K23" s="147">
        <f>IF($E$7=0,0,I23/$E$7*$E$8)</f>
        <v>0</v>
      </c>
      <c r="L23" s="58"/>
      <c r="M23" s="58"/>
      <c r="N23" s="58"/>
      <c r="O23" s="58"/>
      <c r="P23" s="153">
        <f>SUM(L23:O23)</f>
        <v>0</v>
      </c>
      <c r="Q23" s="150">
        <f>IF($I23=0,0,$G23*$J23/$I23)</f>
        <v>0</v>
      </c>
      <c r="R23" s="150">
        <f t="shared" si="9"/>
        <v>0</v>
      </c>
      <c r="S23" s="150">
        <f t="shared" si="9"/>
        <v>0</v>
      </c>
      <c r="T23" s="150">
        <f t="shared" si="9"/>
        <v>0</v>
      </c>
      <c r="U23" s="150">
        <f t="shared" si="10"/>
        <v>0</v>
      </c>
      <c r="V23" s="150">
        <f t="shared" si="11"/>
        <v>95</v>
      </c>
      <c r="W23" s="67"/>
    </row>
    <row r="24" spans="2:23" s="100" customFormat="1" ht="17.100000000000001" customHeight="1" outlineLevel="1">
      <c r="B24" s="143" t="s">
        <v>196</v>
      </c>
      <c r="C24" s="529" t="s">
        <v>197</v>
      </c>
      <c r="D24" s="530"/>
      <c r="E24" s="530"/>
      <c r="F24" s="531"/>
      <c r="G24" s="144">
        <f>'Budget détaillé'!G24</f>
        <v>0</v>
      </c>
      <c r="H24" s="145">
        <f>IF(G24=0,0,(SUMIF(Enseignements!$G$8:$G$89,Paramétrage!$D$19,Enseignements!U$8:U$89)*$H$16+SUMIF(Enseignements!$G$8:$G$89,Paramétrage!$D$19,Enseignements!V$8:V$89)*$H$17+SUMIF(Enseignements!$G$8:$G$89,Paramétrage!$D$19,Enseignements!W$8:W$89)*$H$18+SUMIF(Enseignements!$G$8:$G$89,Paramétrage!$D$19,Enseignements!X$8:X$89)*$H$19)/G24)</f>
        <v>0</v>
      </c>
      <c r="I24" s="146">
        <f>H24*G24</f>
        <v>0</v>
      </c>
      <c r="J24" s="152">
        <f>I24</f>
        <v>0</v>
      </c>
      <c r="K24" s="147">
        <v>0</v>
      </c>
      <c r="L24" s="148"/>
      <c r="M24" s="58"/>
      <c r="N24" s="58"/>
      <c r="O24" s="58"/>
      <c r="P24" s="153">
        <f>SUM(L24:O24)</f>
        <v>0</v>
      </c>
      <c r="Q24" s="150">
        <f>IF($I24=0,0,$G24*$J24/$I24)</f>
        <v>0</v>
      </c>
      <c r="R24" s="150">
        <f t="shared" si="9"/>
        <v>0</v>
      </c>
      <c r="S24" s="150">
        <f t="shared" si="9"/>
        <v>0</v>
      </c>
      <c r="T24" s="150">
        <f t="shared" si="9"/>
        <v>0</v>
      </c>
      <c r="U24" s="150">
        <f t="shared" si="10"/>
        <v>0</v>
      </c>
      <c r="V24" s="150">
        <f t="shared" si="11"/>
        <v>0</v>
      </c>
      <c r="W24" s="67"/>
    </row>
    <row r="25" spans="2:23" s="100" customFormat="1" ht="17.100000000000001" customHeight="1" outlineLevel="1">
      <c r="B25" s="143" t="s">
        <v>198</v>
      </c>
      <c r="C25" s="529" t="s">
        <v>199</v>
      </c>
      <c r="D25" s="530"/>
      <c r="E25" s="530"/>
      <c r="F25" s="531"/>
      <c r="G25" s="144">
        <f>'Budget détaillé'!G25</f>
        <v>95</v>
      </c>
      <c r="H25" s="145">
        <f>IF(G25=0,0,(SUMIF(Enseignements!$G$8:$G$89,Paramétrage!$D$12,Enseignements!U$8:U$89)*$H$16+SUMIF(Enseignements!$G$8:$G$89,Paramétrage!$D$12,Enseignements!V$8:V$89)*$H$17+SUMIF(Enseignements!$G$8:$G$89,Paramétrage!$D$12,Enseignements!W$8:W$89)*$H$18+SUMIF(Enseignements!$G$8:$G$89,Paramétrage!$D$12,Enseignements!X$8:X$89)*$H$19)/G25)</f>
        <v>44.312105263157889</v>
      </c>
      <c r="I25" s="146">
        <f>H25*G25</f>
        <v>4209.6499999999996</v>
      </c>
      <c r="J25" s="146">
        <f>I25-K25</f>
        <v>0</v>
      </c>
      <c r="K25" s="147">
        <f>I25</f>
        <v>4209.6499999999996</v>
      </c>
      <c r="L25" s="148"/>
      <c r="M25" s="155"/>
      <c r="N25" s="155"/>
      <c r="O25" s="58"/>
      <c r="P25" s="153">
        <f>SUM(L25:O25)</f>
        <v>0</v>
      </c>
      <c r="Q25" s="150">
        <f>IF($I25=0,0,$G25*$J25/$I25)</f>
        <v>0</v>
      </c>
      <c r="R25" s="150">
        <f t="shared" si="9"/>
        <v>0</v>
      </c>
      <c r="S25" s="150">
        <f t="shared" si="9"/>
        <v>0</v>
      </c>
      <c r="T25" s="150">
        <f t="shared" si="9"/>
        <v>0</v>
      </c>
      <c r="U25" s="150">
        <f t="shared" si="10"/>
        <v>0</v>
      </c>
      <c r="V25" s="150">
        <f t="shared" si="11"/>
        <v>95</v>
      </c>
      <c r="W25" s="67"/>
    </row>
    <row r="26" spans="2:23" s="100" customFormat="1" ht="17.100000000000001" customHeight="1" outlineLevel="1">
      <c r="B26" s="143" t="s">
        <v>200</v>
      </c>
      <c r="C26" s="529" t="s">
        <v>201</v>
      </c>
      <c r="D26" s="530"/>
      <c r="E26" s="530"/>
      <c r="F26" s="531"/>
      <c r="G26" s="144">
        <f>'Budget détaillé'!G26</f>
        <v>0</v>
      </c>
      <c r="H26" s="145">
        <f>IF(G26=0,0,(SUMIF(Enseignements!$G$8:$G$89,Paramétrage!$D$22,Enseignements!U$8:U$89)*$H$16+SUMIF(Enseignements!$G$8:$G$89,Paramétrage!$D$22,Enseignements!V$8:V$89)*$H$17+SUMIF(Enseignements!$G$8:$G$89,Paramétrage!$D$22,Enseignements!W$8:W$89)*$H$18+SUMIF(Enseignements!$G$8:$G$89,Paramétrage!$D$22,Enseignements!X$8:X$89)*$H$19)/G26)+IF(G26=0,0,(SUMIF(Enseignements!$G$8:$G$89,Paramétrage!$D$25,Enseignements!U$8:U$89)*$H$16+SUMIF(Enseignements!$G$8:$G$89,Paramétrage!$D$25,Enseignements!V$8:V$89)*$H$17+SUMIF(Enseignements!$G$8:$G$89,Paramétrage!$D$25,Enseignements!W$8:W$89)*$H$18+SUMIF(Enseignements!$G$8:$G$89,Paramétrage!$D$25,Enseignements!X$8:X$89)*$H$19)/G26)</f>
        <v>0</v>
      </c>
      <c r="I26" s="146">
        <f>H26*G26</f>
        <v>0</v>
      </c>
      <c r="J26" s="146">
        <f>I26-K26</f>
        <v>0</v>
      </c>
      <c r="K26" s="147">
        <f t="shared" ref="K26" si="12">IF($E$7=0,0,I26/$E$7*$E$8)</f>
        <v>0</v>
      </c>
      <c r="L26" s="58"/>
      <c r="M26" s="58"/>
      <c r="N26" s="58"/>
      <c r="O26" s="58"/>
      <c r="P26" s="153">
        <f>SUM(L26:O26)</f>
        <v>0</v>
      </c>
      <c r="Q26" s="150">
        <f>IF($I26=0,0,$G26*$J26/$I26)</f>
        <v>0</v>
      </c>
      <c r="R26" s="150">
        <f t="shared" si="9"/>
        <v>0</v>
      </c>
      <c r="S26" s="150">
        <f t="shared" si="9"/>
        <v>0</v>
      </c>
      <c r="T26" s="150">
        <f t="shared" si="9"/>
        <v>0</v>
      </c>
      <c r="U26" s="150">
        <f t="shared" si="10"/>
        <v>0</v>
      </c>
      <c r="V26" s="150">
        <f t="shared" si="11"/>
        <v>0</v>
      </c>
      <c r="W26" s="67"/>
    </row>
    <row r="27" spans="2:23" s="100" customFormat="1" ht="21.6" customHeight="1" outlineLevel="1" thickBot="1">
      <c r="B27" s="535" t="s">
        <v>202</v>
      </c>
      <c r="C27" s="536"/>
      <c r="D27" s="536"/>
      <c r="E27" s="536"/>
      <c r="F27" s="537"/>
      <c r="G27" s="156">
        <f>SUM(G22:G26)</f>
        <v>190</v>
      </c>
      <c r="H27" s="157">
        <f>IF(G27=0,0,I27/G27)</f>
        <v>22.156052631578945</v>
      </c>
      <c r="I27" s="157">
        <f>SUM(I22:I26)</f>
        <v>4209.6499999999996</v>
      </c>
      <c r="J27" s="157">
        <f t="shared" ref="J27:K27" si="13">SUM(J22:J26)</f>
        <v>0</v>
      </c>
      <c r="K27" s="157">
        <f t="shared" si="13"/>
        <v>4209.6499999999996</v>
      </c>
      <c r="L27" s="166">
        <f>SUM(L22:L26)</f>
        <v>0</v>
      </c>
      <c r="M27" s="167">
        <f>SUM(M22:M26)</f>
        <v>0</v>
      </c>
      <c r="N27" s="168">
        <f t="shared" ref="N27:O27" si="14">SUM(N22:N26)</f>
        <v>0</v>
      </c>
      <c r="O27" s="158">
        <f t="shared" si="14"/>
        <v>0</v>
      </c>
      <c r="P27" s="160">
        <f t="shared" ref="P27" si="15">SUM(P22:P25)</f>
        <v>0</v>
      </c>
      <c r="Q27" s="131">
        <f>IF($K$72=0,0,K27/$K$72)</f>
        <v>2.7302591043227291E-2</v>
      </c>
      <c r="R27" s="132" t="s">
        <v>180</v>
      </c>
      <c r="S27" s="52"/>
      <c r="T27" s="99"/>
    </row>
    <row r="28" spans="2:23" s="100" customFormat="1" ht="17.100000000000001" customHeight="1" outlineLevel="1">
      <c r="B28" s="169" t="s">
        <v>203</v>
      </c>
      <c r="C28" s="170" t="s">
        <v>204</v>
      </c>
      <c r="D28" s="98"/>
      <c r="E28" s="98"/>
      <c r="F28" s="171"/>
      <c r="G28" s="172"/>
      <c r="H28" s="173"/>
      <c r="I28" s="172"/>
      <c r="J28" s="172"/>
      <c r="K28" s="174"/>
      <c r="L28" s="175"/>
      <c r="M28" s="176"/>
      <c r="N28" s="176"/>
      <c r="O28" s="176"/>
      <c r="P28" s="177"/>
      <c r="Q28" s="141"/>
      <c r="R28" s="178">
        <f t="shared" ref="R28:U31" si="16">IF($I28=0,0,IF($P28=0,0,$G28*$J28/$I28*L28/$P28))</f>
        <v>0</v>
      </c>
      <c r="S28" s="178">
        <f t="shared" si="16"/>
        <v>0</v>
      </c>
      <c r="T28" s="178">
        <f t="shared" si="16"/>
        <v>0</v>
      </c>
      <c r="U28" s="179">
        <f t="shared" si="16"/>
        <v>0</v>
      </c>
      <c r="V28" s="180"/>
    </row>
    <row r="29" spans="2:23" s="100" customFormat="1" ht="17.100000000000001" customHeight="1" outlineLevel="1">
      <c r="B29" s="143" t="s">
        <v>205</v>
      </c>
      <c r="C29" s="529" t="s">
        <v>206</v>
      </c>
      <c r="D29" s="530"/>
      <c r="E29" s="530"/>
      <c r="F29" s="531"/>
      <c r="G29" s="58">
        <f>'Budget détaillé'!G29</f>
        <v>15</v>
      </c>
      <c r="H29" s="145">
        <f>+H16</f>
        <v>43.48</v>
      </c>
      <c r="I29" s="181">
        <f>H29*G29</f>
        <v>652.19999999999993</v>
      </c>
      <c r="J29" s="146">
        <f t="shared" ref="J29:J31" si="17">I29-K29</f>
        <v>0</v>
      </c>
      <c r="K29" s="147">
        <f t="shared" ref="K29:K31" si="18">IF($E$7=0,0,I29/$E$7*$E$8)</f>
        <v>652.19999999999993</v>
      </c>
      <c r="L29" s="182"/>
      <c r="M29" s="58"/>
      <c r="N29" s="58"/>
      <c r="O29" s="58"/>
      <c r="P29" s="153">
        <f>SUM(L29:O29)</f>
        <v>0</v>
      </c>
      <c r="Q29" s="150">
        <f>IF($I29=0,0,$G29*$J29/$I29)</f>
        <v>0</v>
      </c>
      <c r="R29" s="150">
        <f t="shared" si="16"/>
        <v>0</v>
      </c>
      <c r="S29" s="150">
        <f t="shared" si="16"/>
        <v>0</v>
      </c>
      <c r="T29" s="150">
        <f t="shared" si="16"/>
        <v>0</v>
      </c>
      <c r="U29" s="150">
        <f>IF($I29=0,0,IF($P29=0,0,$G29*$J29/$I29*O29/$P29))</f>
        <v>0</v>
      </c>
      <c r="V29" s="151">
        <f t="shared" si="11"/>
        <v>15</v>
      </c>
      <c r="W29" s="183"/>
    </row>
    <row r="30" spans="2:23" s="100" customFormat="1" ht="17.100000000000001" customHeight="1" outlineLevel="1">
      <c r="B30" s="143" t="s">
        <v>207</v>
      </c>
      <c r="C30" s="529" t="s">
        <v>208</v>
      </c>
      <c r="D30" s="530"/>
      <c r="E30" s="530"/>
      <c r="F30" s="531"/>
      <c r="G30" s="58">
        <f>'Budget détaillé'!G30</f>
        <v>5</v>
      </c>
      <c r="H30" s="145">
        <f>$H$20</f>
        <v>48.201717791411042</v>
      </c>
      <c r="I30" s="181">
        <f>H30*G30</f>
        <v>241.00858895705522</v>
      </c>
      <c r="J30" s="146">
        <f t="shared" si="17"/>
        <v>0</v>
      </c>
      <c r="K30" s="147">
        <f>I30</f>
        <v>241.00858895705522</v>
      </c>
      <c r="L30" s="182"/>
      <c r="M30" s="148"/>
      <c r="N30" s="58"/>
      <c r="O30" s="58"/>
      <c r="P30" s="153">
        <f>SUM(L30:O30)</f>
        <v>0</v>
      </c>
      <c r="Q30" s="150">
        <f t="shared" ref="Q30:Q31" si="19">IF($I30=0,0,$G30*$J30/$I30)</f>
        <v>0</v>
      </c>
      <c r="R30" s="150">
        <f t="shared" si="16"/>
        <v>0</v>
      </c>
      <c r="S30" s="150">
        <f t="shared" si="16"/>
        <v>0</v>
      </c>
      <c r="T30" s="150">
        <f t="shared" si="16"/>
        <v>0</v>
      </c>
      <c r="U30" s="150">
        <f t="shared" si="16"/>
        <v>0</v>
      </c>
      <c r="V30" s="151">
        <f t="shared" si="11"/>
        <v>5</v>
      </c>
      <c r="W30" s="183"/>
    </row>
    <row r="31" spans="2:23" s="100" customFormat="1" ht="17.100000000000001" customHeight="1" outlineLevel="1">
      <c r="B31" s="143" t="s">
        <v>209</v>
      </c>
      <c r="C31" s="346" t="s">
        <v>26</v>
      </c>
      <c r="D31" s="164"/>
      <c r="E31" s="164"/>
      <c r="F31" s="165"/>
      <c r="G31" s="58">
        <f>'Budget détaillé'!G31</f>
        <v>0</v>
      </c>
      <c r="H31" s="145">
        <f>$H$20</f>
        <v>48.201717791411042</v>
      </c>
      <c r="I31" s="185">
        <f>H31*G31</f>
        <v>0</v>
      </c>
      <c r="J31" s="146">
        <f t="shared" si="17"/>
        <v>0</v>
      </c>
      <c r="K31" s="147">
        <f t="shared" si="18"/>
        <v>0</v>
      </c>
      <c r="L31" s="186"/>
      <c r="M31" s="58"/>
      <c r="N31" s="58"/>
      <c r="O31" s="58"/>
      <c r="P31" s="153">
        <f>SUM(L31:O31)</f>
        <v>0</v>
      </c>
      <c r="Q31" s="150">
        <f t="shared" si="19"/>
        <v>0</v>
      </c>
      <c r="R31" s="150">
        <f t="shared" si="16"/>
        <v>0</v>
      </c>
      <c r="S31" s="150">
        <f t="shared" si="16"/>
        <v>0</v>
      </c>
      <c r="T31" s="150">
        <f t="shared" si="16"/>
        <v>0</v>
      </c>
      <c r="U31" s="150">
        <f t="shared" si="16"/>
        <v>0</v>
      </c>
      <c r="V31" s="151">
        <f>G31-Q31</f>
        <v>0</v>
      </c>
      <c r="W31" s="183"/>
    </row>
    <row r="32" spans="2:23" s="100" customFormat="1" ht="21" customHeight="1" outlineLevel="1" thickBot="1">
      <c r="B32" s="541" t="s">
        <v>210</v>
      </c>
      <c r="C32" s="542"/>
      <c r="D32" s="542"/>
      <c r="E32" s="542"/>
      <c r="F32" s="543"/>
      <c r="G32" s="187">
        <f>SUM(G29:G31)</f>
        <v>20</v>
      </c>
      <c r="H32" s="188">
        <f>IF(G32=0,0,I32/G32)</f>
        <v>44.660429447852756</v>
      </c>
      <c r="I32" s="188">
        <f>SUM(I29:I31)</f>
        <v>893.2085889570551</v>
      </c>
      <c r="J32" s="188">
        <f>SUM(J29:J31)</f>
        <v>0</v>
      </c>
      <c r="K32" s="189">
        <f>SUM(K29:K31)</f>
        <v>893.2085889570551</v>
      </c>
      <c r="L32" s="161">
        <f t="shared" ref="L32:M32" si="20">SUM(L29:L31)</f>
        <v>0</v>
      </c>
      <c r="M32" s="158">
        <f t="shared" si="20"/>
        <v>0</v>
      </c>
      <c r="N32" s="158">
        <f>SUM(N29:N31)</f>
        <v>0</v>
      </c>
      <c r="O32" s="158">
        <f>SUM(O29:O31)</f>
        <v>0</v>
      </c>
      <c r="P32" s="160">
        <f t="shared" ref="P32" si="21">SUM(P28:P31)</f>
        <v>0</v>
      </c>
      <c r="Q32" s="131">
        <f>IF($K$72=0,0,K32/$K$72)</f>
        <v>5.7930965331066909E-3</v>
      </c>
      <c r="R32" s="132" t="s">
        <v>180</v>
      </c>
      <c r="S32" s="52"/>
      <c r="T32" s="99"/>
      <c r="U32" s="49"/>
    </row>
    <row r="33" spans="2:22" s="100" customFormat="1" ht="21" customHeight="1" outlineLevel="1">
      <c r="B33" s="190"/>
      <c r="C33" s="191"/>
      <c r="D33" s="192"/>
      <c r="E33" s="193"/>
      <c r="F33" s="193"/>
      <c r="G33" s="193"/>
      <c r="H33" s="194" t="s">
        <v>211</v>
      </c>
      <c r="I33" s="195">
        <f>K33+J33</f>
        <v>699</v>
      </c>
      <c r="J33" s="195">
        <f>SUM(Q16:Q19)+SUM(Q22:Q26)+SUM(Q29:Q31)</f>
        <v>0</v>
      </c>
      <c r="K33" s="196">
        <f>SUM(V16:V19)+SUM(V22:V26)+SUM(V29:V31)</f>
        <v>699</v>
      </c>
      <c r="L33" s="197"/>
      <c r="M33" s="197"/>
      <c r="N33" s="197"/>
      <c r="O33" s="197"/>
      <c r="P33" s="197"/>
      <c r="Q33" s="198"/>
      <c r="R33" s="198"/>
      <c r="S33" s="199"/>
      <c r="T33" s="200"/>
      <c r="U33" s="99"/>
      <c r="V33" s="201"/>
    </row>
    <row r="34" spans="2:22" s="100" customFormat="1" ht="21" customHeight="1" outlineLevel="1" thickBot="1">
      <c r="B34" s="202"/>
      <c r="C34" s="203"/>
      <c r="D34" s="204"/>
      <c r="E34" s="205"/>
      <c r="F34" s="205"/>
      <c r="G34" s="205"/>
      <c r="H34" s="206" t="s">
        <v>212</v>
      </c>
      <c r="I34" s="207">
        <f>IF($E$7=0,0,(I32+I20+I27)/$E$7)</f>
        <v>1509.1315046819502</v>
      </c>
      <c r="J34" s="208">
        <f>IF($E$7-$E$8=0,0,(J32+J20+J27)/($E$7-$E$8))</f>
        <v>0</v>
      </c>
      <c r="K34" s="209">
        <f>IF($E$8=0,0,(K32+K20+K27)/$E$8)</f>
        <v>1509.1315046819502</v>
      </c>
      <c r="L34" s="197"/>
      <c r="M34" s="197"/>
      <c r="N34" s="197"/>
      <c r="O34" s="197"/>
      <c r="P34" s="197"/>
      <c r="Q34" s="198"/>
      <c r="R34" s="198"/>
      <c r="S34" s="199"/>
      <c r="T34" s="200"/>
      <c r="U34" s="99"/>
      <c r="V34" s="201"/>
    </row>
    <row r="35" spans="2:22" s="52" customFormat="1" ht="22.35" customHeight="1" thickBot="1">
      <c r="B35" s="210" t="s">
        <v>213</v>
      </c>
      <c r="C35" s="211"/>
      <c r="D35" s="212"/>
      <c r="E35" s="212"/>
      <c r="F35" s="212"/>
      <c r="G35" s="212"/>
      <c r="H35" s="213"/>
      <c r="I35" s="214">
        <f t="shared" ref="I35:P35" si="22">SUM(I36:I44)</f>
        <v>6000</v>
      </c>
      <c r="J35" s="215">
        <f t="shared" si="22"/>
        <v>0</v>
      </c>
      <c r="K35" s="216">
        <f t="shared" si="22"/>
        <v>6000</v>
      </c>
      <c r="L35" s="130">
        <f t="shared" si="22"/>
        <v>0</v>
      </c>
      <c r="M35" s="126">
        <f t="shared" si="22"/>
        <v>0</v>
      </c>
      <c r="N35" s="127">
        <f t="shared" si="22"/>
        <v>0</v>
      </c>
      <c r="O35" s="126">
        <f t="shared" si="22"/>
        <v>0</v>
      </c>
      <c r="P35" s="217">
        <f t="shared" si="22"/>
        <v>0</v>
      </c>
      <c r="Q35" s="131">
        <f>IF($K$72=0,0,K35/$K$72)</f>
        <v>3.8914291273470181E-2</v>
      </c>
      <c r="R35" s="132" t="s">
        <v>180</v>
      </c>
      <c r="U35" s="100"/>
      <c r="V35" s="100"/>
    </row>
    <row r="36" spans="2:22" s="100" customFormat="1" ht="17.100000000000001" customHeight="1" outlineLevel="1">
      <c r="B36" s="218" t="s">
        <v>214</v>
      </c>
      <c r="C36" s="219" t="s">
        <v>215</v>
      </c>
      <c r="D36" s="220"/>
      <c r="E36" s="220"/>
      <c r="F36" s="220"/>
      <c r="G36" s="220"/>
      <c r="H36" s="220"/>
      <c r="I36" s="221">
        <f>'Budget détaillé'!I36</f>
        <v>3000</v>
      </c>
      <c r="J36" s="222">
        <f>'Budget détaillé'!J36</f>
        <v>0</v>
      </c>
      <c r="K36" s="223">
        <f>'Budget détaillé'!K36</f>
        <v>3000</v>
      </c>
      <c r="L36" s="224"/>
      <c r="M36" s="225"/>
      <c r="N36" s="226"/>
      <c r="O36" s="225"/>
      <c r="P36" s="227">
        <f>SUM(L36:O36)</f>
        <v>0</v>
      </c>
      <c r="Q36" s="228"/>
      <c r="R36" s="229"/>
      <c r="S36" s="52"/>
    </row>
    <row r="37" spans="2:22" s="100" customFormat="1" ht="17.100000000000001" customHeight="1" outlineLevel="1">
      <c r="B37" s="76" t="s">
        <v>216</v>
      </c>
      <c r="C37" s="230" t="s">
        <v>217</v>
      </c>
      <c r="D37" s="231"/>
      <c r="E37" s="231"/>
      <c r="F37" s="231"/>
      <c r="G37" s="231"/>
      <c r="H37" s="231"/>
      <c r="I37" s="232">
        <f>'Budget détaillé'!I37</f>
        <v>0</v>
      </c>
      <c r="J37" s="145">
        <f>'Budget détaillé'!J37</f>
        <v>0</v>
      </c>
      <c r="K37" s="233">
        <f>'Budget détaillé'!K37</f>
        <v>0</v>
      </c>
      <c r="L37" s="182"/>
      <c r="M37" s="148"/>
      <c r="N37" s="234"/>
      <c r="O37" s="148"/>
      <c r="P37" s="153">
        <f>SUM(L37:O37)</f>
        <v>0</v>
      </c>
      <c r="Q37" s="228"/>
      <c r="R37" s="229"/>
      <c r="S37" s="52"/>
    </row>
    <row r="38" spans="2:22" s="100" customFormat="1" ht="17.100000000000001" customHeight="1" outlineLevel="1">
      <c r="B38" s="76" t="s">
        <v>218</v>
      </c>
      <c r="C38" s="230" t="s">
        <v>219</v>
      </c>
      <c r="D38" s="231"/>
      <c r="E38" s="231"/>
      <c r="F38" s="231"/>
      <c r="G38" s="231"/>
      <c r="H38" s="231"/>
      <c r="I38" s="232">
        <f>'Budget détaillé'!I38</f>
        <v>0</v>
      </c>
      <c r="J38" s="145">
        <f>'Budget détaillé'!J38</f>
        <v>0</v>
      </c>
      <c r="K38" s="233">
        <f>'Budget détaillé'!K38</f>
        <v>0</v>
      </c>
      <c r="L38" s="182"/>
      <c r="M38" s="148"/>
      <c r="N38" s="234"/>
      <c r="O38" s="148"/>
      <c r="P38" s="153">
        <f t="shared" ref="P38:P44" si="23">SUM(L38:O38)</f>
        <v>0</v>
      </c>
      <c r="Q38" s="228"/>
      <c r="R38" s="229"/>
      <c r="S38" s="52"/>
    </row>
    <row r="39" spans="2:22" s="100" customFormat="1" ht="17.100000000000001" customHeight="1" outlineLevel="1">
      <c r="B39" s="76" t="s">
        <v>220</v>
      </c>
      <c r="C39" s="230" t="s">
        <v>221</v>
      </c>
      <c r="D39" s="231"/>
      <c r="E39" s="231"/>
      <c r="F39" s="231"/>
      <c r="G39" s="231"/>
      <c r="H39" s="231"/>
      <c r="I39" s="232">
        <f>'Budget détaillé'!I39</f>
        <v>0</v>
      </c>
      <c r="J39" s="145">
        <f>'Budget détaillé'!J39</f>
        <v>0</v>
      </c>
      <c r="K39" s="233">
        <f>'Budget détaillé'!K39</f>
        <v>0</v>
      </c>
      <c r="L39" s="182"/>
      <c r="M39" s="148"/>
      <c r="N39" s="234"/>
      <c r="O39" s="148"/>
      <c r="P39" s="153">
        <f t="shared" si="23"/>
        <v>0</v>
      </c>
      <c r="Q39" s="228"/>
      <c r="R39" s="229"/>
      <c r="S39" s="52"/>
    </row>
    <row r="40" spans="2:22" s="100" customFormat="1" ht="17.100000000000001" customHeight="1" outlineLevel="1">
      <c r="B40" s="76" t="s">
        <v>222</v>
      </c>
      <c r="C40" s="230" t="s">
        <v>223</v>
      </c>
      <c r="D40" s="231"/>
      <c r="E40" s="231"/>
      <c r="F40" s="231"/>
      <c r="G40" s="231"/>
      <c r="H40" s="231"/>
      <c r="I40" s="232">
        <f>'Budget détaillé'!I40</f>
        <v>1500</v>
      </c>
      <c r="J40" s="145">
        <f>'Budget détaillé'!J40</f>
        <v>0</v>
      </c>
      <c r="K40" s="233">
        <f>'Budget détaillé'!K40</f>
        <v>1500</v>
      </c>
      <c r="L40" s="182"/>
      <c r="M40" s="148"/>
      <c r="N40" s="234"/>
      <c r="O40" s="148"/>
      <c r="P40" s="153">
        <f>SUM(L40:O40)</f>
        <v>0</v>
      </c>
      <c r="Q40" s="228"/>
      <c r="R40" s="229"/>
      <c r="S40" s="52"/>
    </row>
    <row r="41" spans="2:22" s="100" customFormat="1" ht="17.100000000000001" customHeight="1" outlineLevel="1">
      <c r="B41" s="76" t="s">
        <v>224</v>
      </c>
      <c r="C41" s="230" t="s">
        <v>225</v>
      </c>
      <c r="D41" s="231"/>
      <c r="E41" s="231"/>
      <c r="F41" s="231"/>
      <c r="G41" s="231"/>
      <c r="H41" s="231"/>
      <c r="I41" s="232">
        <f>'Budget détaillé'!I41</f>
        <v>0</v>
      </c>
      <c r="J41" s="145">
        <f>'Budget détaillé'!J41</f>
        <v>0</v>
      </c>
      <c r="K41" s="233">
        <f>'Budget détaillé'!K41</f>
        <v>0</v>
      </c>
      <c r="L41" s="182"/>
      <c r="M41" s="148"/>
      <c r="N41" s="234"/>
      <c r="O41" s="148"/>
      <c r="P41" s="153">
        <f>SUM(L41:O41)</f>
        <v>0</v>
      </c>
      <c r="Q41" s="228"/>
      <c r="R41" s="229"/>
      <c r="S41" s="52"/>
    </row>
    <row r="42" spans="2:22" s="100" customFormat="1" ht="17.100000000000001" customHeight="1" outlineLevel="1">
      <c r="B42" s="76" t="s">
        <v>226</v>
      </c>
      <c r="C42" s="230" t="s">
        <v>327</v>
      </c>
      <c r="D42" s="231"/>
      <c r="E42" s="231"/>
      <c r="F42" s="231"/>
      <c r="G42" s="231"/>
      <c r="H42" s="231"/>
      <c r="I42" s="232">
        <f>'Budget détaillé'!I42</f>
        <v>1500</v>
      </c>
      <c r="J42" s="145">
        <f>'Budget détaillé'!J42</f>
        <v>0</v>
      </c>
      <c r="K42" s="233">
        <f>'Budget détaillé'!K42</f>
        <v>1500</v>
      </c>
      <c r="L42" s="182"/>
      <c r="M42" s="148"/>
      <c r="N42" s="234"/>
      <c r="O42" s="148"/>
      <c r="P42" s="153">
        <f t="shared" si="23"/>
        <v>0</v>
      </c>
      <c r="Q42" s="228"/>
      <c r="R42" s="229"/>
      <c r="S42" s="52"/>
    </row>
    <row r="43" spans="2:22" s="100" customFormat="1" ht="17.100000000000001" customHeight="1" outlineLevel="1">
      <c r="B43" s="76" t="s">
        <v>228</v>
      </c>
      <c r="C43" s="230" t="s">
        <v>229</v>
      </c>
      <c r="D43" s="231"/>
      <c r="E43" s="231"/>
      <c r="F43" s="231"/>
      <c r="G43" s="231"/>
      <c r="H43" s="231"/>
      <c r="I43" s="232">
        <f>'Budget détaillé'!I43</f>
        <v>0</v>
      </c>
      <c r="J43" s="145">
        <f>'Budget détaillé'!J43</f>
        <v>0</v>
      </c>
      <c r="K43" s="233">
        <f>'Budget détaillé'!K43</f>
        <v>0</v>
      </c>
      <c r="L43" s="182"/>
      <c r="M43" s="148"/>
      <c r="N43" s="234"/>
      <c r="O43" s="148"/>
      <c r="P43" s="153">
        <f t="shared" si="23"/>
        <v>0</v>
      </c>
      <c r="Q43" s="228"/>
      <c r="R43" s="229"/>
      <c r="S43" s="52"/>
    </row>
    <row r="44" spans="2:22" s="100" customFormat="1" ht="17.100000000000001" customHeight="1" outlineLevel="1" thickBot="1">
      <c r="B44" s="235" t="s">
        <v>230</v>
      </c>
      <c r="C44" s="236" t="s">
        <v>231</v>
      </c>
      <c r="D44" s="237"/>
      <c r="E44" s="237"/>
      <c r="F44" s="237"/>
      <c r="G44" s="237"/>
      <c r="H44" s="238"/>
      <c r="I44" s="239">
        <f>'Budget détaillé'!I44</f>
        <v>0</v>
      </c>
      <c r="J44" s="240">
        <f>'Budget détaillé'!J44</f>
        <v>0</v>
      </c>
      <c r="K44" s="241">
        <f>'Budget détaillé'!K44</f>
        <v>0</v>
      </c>
      <c r="L44" s="242"/>
      <c r="M44" s="243"/>
      <c r="N44" s="244"/>
      <c r="O44" s="243"/>
      <c r="P44" s="245">
        <f t="shared" si="23"/>
        <v>0</v>
      </c>
      <c r="Q44" s="228"/>
      <c r="R44" s="229"/>
      <c r="S44" s="52"/>
    </row>
    <row r="45" spans="2:22" s="100" customFormat="1" ht="24.6" customHeight="1" outlineLevel="1" thickBot="1">
      <c r="B45" s="246"/>
      <c r="C45" s="247"/>
      <c r="E45" s="248"/>
      <c r="F45" s="248"/>
      <c r="G45" s="248"/>
      <c r="H45" s="53" t="s">
        <v>232</v>
      </c>
      <c r="I45" s="249">
        <f>IF(E7=0,0,I35/$E$7)</f>
        <v>315.78947368421052</v>
      </c>
      <c r="J45" s="249">
        <f>IF(E7-E8=0,0,J35/($E$7-$E$8))</f>
        <v>0</v>
      </c>
      <c r="K45" s="209">
        <f>IF($E$8=0,0,K35/$E$8)</f>
        <v>315.78947368421052</v>
      </c>
      <c r="L45" s="197"/>
      <c r="M45" s="197"/>
      <c r="N45" s="197"/>
      <c r="O45" s="197"/>
      <c r="P45" s="197"/>
      <c r="Q45" s="228"/>
      <c r="R45" s="229"/>
      <c r="S45" s="52"/>
      <c r="U45" s="52"/>
      <c r="V45" s="52"/>
    </row>
    <row r="46" spans="2:22" s="52" customFormat="1" ht="21.6" customHeight="1" thickBot="1">
      <c r="B46" s="122" t="s">
        <v>233</v>
      </c>
      <c r="C46" s="123"/>
      <c r="D46" s="124"/>
      <c r="E46" s="124"/>
      <c r="F46" s="124"/>
      <c r="G46" s="124"/>
      <c r="H46" s="250"/>
      <c r="I46" s="251">
        <f t="shared" ref="I46:P46" si="24">I35+I32+I20+I27</f>
        <v>34673.498588957053</v>
      </c>
      <c r="J46" s="251">
        <f t="shared" si="24"/>
        <v>0</v>
      </c>
      <c r="K46" s="252">
        <f t="shared" si="24"/>
        <v>34673.498588957053</v>
      </c>
      <c r="L46" s="251">
        <f t="shared" si="24"/>
        <v>0</v>
      </c>
      <c r="M46" s="251">
        <f t="shared" si="24"/>
        <v>0</v>
      </c>
      <c r="N46" s="251">
        <f t="shared" si="24"/>
        <v>0</v>
      </c>
      <c r="O46" s="251">
        <f t="shared" si="24"/>
        <v>0</v>
      </c>
      <c r="P46" s="253">
        <f t="shared" si="24"/>
        <v>0</v>
      </c>
      <c r="Q46" s="254">
        <f>IF($K$72=0,0,K46/$K$72)</f>
        <v>0.22488243726015536</v>
      </c>
      <c r="R46" s="132" t="s">
        <v>180</v>
      </c>
      <c r="S46" s="255"/>
      <c r="U46" s="49"/>
      <c r="V46" s="100"/>
    </row>
    <row r="47" spans="2:22" s="100" customFormat="1" ht="21" customHeight="1" thickBot="1">
      <c r="B47" s="256"/>
      <c r="C47" s="257"/>
      <c r="D47" s="257"/>
      <c r="E47" s="258"/>
      <c r="F47" s="258"/>
      <c r="G47" s="258"/>
      <c r="H47" s="259" t="s">
        <v>234</v>
      </c>
      <c r="I47" s="207">
        <f>IF(E7=0,0,I46/E7)</f>
        <v>1824.9209783661606</v>
      </c>
      <c r="J47" s="249">
        <f>IF((E7-E8)=0,0,J46/(E7-E8))</f>
        <v>0</v>
      </c>
      <c r="K47" s="260">
        <f>IF(E8=0,0,K46/E8)</f>
        <v>1824.9209783661606</v>
      </c>
      <c r="L47" s="197"/>
      <c r="M47" s="197"/>
      <c r="N47" s="197"/>
      <c r="O47" s="197"/>
      <c r="P47" s="197"/>
      <c r="Q47" s="261"/>
      <c r="R47" s="229"/>
      <c r="S47" s="52"/>
      <c r="T47" s="99"/>
      <c r="U47" s="49"/>
    </row>
    <row r="48" spans="2:22" s="100" customFormat="1" ht="12" customHeight="1" thickBot="1">
      <c r="B48" s="246"/>
      <c r="E48" s="248"/>
      <c r="F48" s="248"/>
      <c r="G48" s="248"/>
      <c r="H48" s="53"/>
      <c r="I48" s="207"/>
      <c r="J48" s="207"/>
      <c r="K48" s="262"/>
      <c r="L48" s="197"/>
      <c r="M48" s="197"/>
      <c r="N48" s="197"/>
      <c r="O48" s="197"/>
      <c r="P48" s="197"/>
      <c r="Q48" s="261"/>
      <c r="R48" s="229"/>
      <c r="S48" s="52"/>
      <c r="T48" s="99"/>
      <c r="U48" s="48"/>
      <c r="V48" s="48"/>
    </row>
    <row r="49" spans="1:22" s="48" customFormat="1" ht="51.75" thickBot="1">
      <c r="B49" s="263" t="s">
        <v>235</v>
      </c>
      <c r="C49" s="264" t="s">
        <v>236</v>
      </c>
      <c r="D49" s="265"/>
      <c r="E49" s="265"/>
      <c r="F49" s="265"/>
      <c r="G49" s="265"/>
      <c r="H49" s="114" t="s">
        <v>237</v>
      </c>
      <c r="I49" s="113" t="s">
        <v>172</v>
      </c>
      <c r="J49" s="114" t="s">
        <v>173</v>
      </c>
      <c r="K49" s="115" t="s">
        <v>238</v>
      </c>
      <c r="L49" s="266" t="str">
        <f>L13</f>
        <v>Lyon 2</v>
      </c>
      <c r="M49" s="114" t="str">
        <f>M13</f>
        <v>Partenaire 1</v>
      </c>
      <c r="N49" s="114" t="str">
        <f>N13</f>
        <v>Partenaire 2</v>
      </c>
      <c r="O49" s="114" t="str">
        <f>O13</f>
        <v>Partenaire 3</v>
      </c>
      <c r="P49" s="119" t="s">
        <v>0</v>
      </c>
      <c r="Q49" s="267"/>
      <c r="R49" s="121"/>
      <c r="U49" s="52"/>
      <c r="V49" s="52"/>
    </row>
    <row r="50" spans="1:22" s="52" customFormat="1" ht="19.7" customHeight="1" thickBot="1">
      <c r="B50" s="122" t="s">
        <v>239</v>
      </c>
      <c r="C50" s="123"/>
      <c r="D50" s="124"/>
      <c r="E50" s="124"/>
      <c r="F50" s="124"/>
      <c r="G50" s="124"/>
      <c r="H50" s="250"/>
      <c r="I50" s="127">
        <f>SUM(I51:I54)</f>
        <v>22724</v>
      </c>
      <c r="J50" s="128">
        <f>SUM(J51:J54)</f>
        <v>0</v>
      </c>
      <c r="K50" s="129">
        <f>SUM(K51:K54)</f>
        <v>22724</v>
      </c>
      <c r="L50" s="127">
        <f t="shared" ref="L50:P50" si="25">SUM(L51:L54)</f>
        <v>0</v>
      </c>
      <c r="M50" s="126">
        <f t="shared" si="25"/>
        <v>0</v>
      </c>
      <c r="N50" s="126">
        <f t="shared" si="25"/>
        <v>0</v>
      </c>
      <c r="O50" s="127">
        <f t="shared" si="25"/>
        <v>0</v>
      </c>
      <c r="P50" s="129">
        <f t="shared" si="25"/>
        <v>0</v>
      </c>
      <c r="Q50" s="162"/>
      <c r="R50" s="268"/>
    </row>
    <row r="51" spans="1:22" s="52" customFormat="1" ht="17.100000000000001" customHeight="1" outlineLevel="2">
      <c r="B51" s="269" t="s">
        <v>240</v>
      </c>
      <c r="C51" s="270" t="s">
        <v>241</v>
      </c>
      <c r="D51" s="271"/>
      <c r="E51" s="271"/>
      <c r="F51" s="271"/>
      <c r="G51" s="272"/>
      <c r="H51" s="145">
        <f>'Budget détaillé'!H51</f>
        <v>312</v>
      </c>
      <c r="I51" s="145">
        <f>'Budget détaillé'!I51</f>
        <v>5928</v>
      </c>
      <c r="J51" s="146">
        <f>'Budget détaillé'!J51</f>
        <v>0</v>
      </c>
      <c r="K51" s="147">
        <f>'Budget détaillé'!K51</f>
        <v>5928</v>
      </c>
      <c r="L51" s="273"/>
      <c r="M51" s="274"/>
      <c r="N51" s="274"/>
      <c r="O51" s="275"/>
      <c r="P51" s="149">
        <f>SUM(L51:O51)</f>
        <v>0</v>
      </c>
      <c r="Q51" s="162"/>
      <c r="R51" s="229"/>
      <c r="U51" s="100"/>
      <c r="V51" s="100"/>
    </row>
    <row r="52" spans="1:22" s="100" customFormat="1" ht="18.75" customHeight="1" outlineLevel="2">
      <c r="B52" s="269" t="s">
        <v>242</v>
      </c>
      <c r="C52" s="276" t="s">
        <v>243</v>
      </c>
      <c r="D52" s="277"/>
      <c r="E52" s="277"/>
      <c r="F52" s="277"/>
      <c r="G52" s="278"/>
      <c r="H52" s="145">
        <f>'Budget détaillé'!H52</f>
        <v>708</v>
      </c>
      <c r="I52" s="145">
        <f>'Budget détaillé'!I52</f>
        <v>13452</v>
      </c>
      <c r="J52" s="146">
        <f>'Budget détaillé'!J52</f>
        <v>0</v>
      </c>
      <c r="K52" s="147">
        <f>'Budget détaillé'!K52</f>
        <v>13452</v>
      </c>
      <c r="L52" s="273"/>
      <c r="M52" s="274"/>
      <c r="N52" s="274"/>
      <c r="O52" s="58"/>
      <c r="P52" s="153">
        <f>SUM(L52:O52)</f>
        <v>0</v>
      </c>
      <c r="Q52" s="104"/>
      <c r="R52" s="229"/>
      <c r="S52" s="52"/>
    </row>
    <row r="53" spans="1:22" s="100" customFormat="1" ht="18.75" customHeight="1" outlineLevel="2">
      <c r="B53" s="269" t="s">
        <v>244</v>
      </c>
      <c r="C53" s="94" t="s">
        <v>245</v>
      </c>
      <c r="D53" s="279"/>
      <c r="E53" s="279"/>
      <c r="F53" s="279"/>
      <c r="G53" s="279"/>
      <c r="H53" s="145">
        <f>'Budget détaillé'!H53</f>
        <v>90</v>
      </c>
      <c r="I53" s="145">
        <f>'Budget détaillé'!I53</f>
        <v>1710</v>
      </c>
      <c r="J53" s="146">
        <f>'Budget détaillé'!J53</f>
        <v>0</v>
      </c>
      <c r="K53" s="147">
        <f>'Budget détaillé'!K53</f>
        <v>1710</v>
      </c>
      <c r="L53" s="273"/>
      <c r="M53" s="274"/>
      <c r="N53" s="274"/>
      <c r="O53" s="58"/>
      <c r="P53" s="153">
        <f>SUM(L53:O53)</f>
        <v>0</v>
      </c>
      <c r="Q53" s="104"/>
      <c r="R53" s="229"/>
      <c r="S53" s="52"/>
    </row>
    <row r="54" spans="1:22" s="100" customFormat="1" ht="18.75" customHeight="1" outlineLevel="2" thickBot="1">
      <c r="B54" s="269" t="s">
        <v>246</v>
      </c>
      <c r="C54" s="94" t="s">
        <v>247</v>
      </c>
      <c r="D54" s="279"/>
      <c r="E54" s="279"/>
      <c r="F54" s="279"/>
      <c r="G54" s="279"/>
      <c r="H54" s="145">
        <f>'Budget détaillé'!H54</f>
        <v>86</v>
      </c>
      <c r="I54" s="145">
        <f>'Budget détaillé'!I54</f>
        <v>1634</v>
      </c>
      <c r="J54" s="146">
        <f>'Budget détaillé'!J54</f>
        <v>0</v>
      </c>
      <c r="K54" s="147">
        <f>'Budget détaillé'!K54</f>
        <v>1634</v>
      </c>
      <c r="L54" s="273"/>
      <c r="M54" s="274"/>
      <c r="N54" s="274"/>
      <c r="O54" s="58"/>
      <c r="P54" s="153">
        <f>SUM(L54:O54)</f>
        <v>0</v>
      </c>
      <c r="Q54" s="104"/>
      <c r="R54" s="229"/>
      <c r="S54" s="52"/>
      <c r="U54" s="52"/>
      <c r="V54" s="52"/>
    </row>
    <row r="55" spans="1:22" s="52" customFormat="1" ht="19.350000000000001" customHeight="1" thickBot="1">
      <c r="B55" s="122" t="s">
        <v>248</v>
      </c>
      <c r="C55" s="123"/>
      <c r="D55" s="124"/>
      <c r="E55" s="124"/>
      <c r="F55" s="124"/>
      <c r="G55" s="124"/>
      <c r="H55" s="250"/>
      <c r="I55" s="127">
        <f>SUM(I56:I58)</f>
        <v>18316</v>
      </c>
      <c r="J55" s="128">
        <f>SUM(J56:J58)</f>
        <v>0</v>
      </c>
      <c r="K55" s="129">
        <f>SUM(K56:K58)</f>
        <v>18316</v>
      </c>
      <c r="L55" s="127">
        <f t="shared" ref="L55:P55" si="26">SUM(L56:L58)</f>
        <v>0</v>
      </c>
      <c r="M55" s="126">
        <f t="shared" si="26"/>
        <v>0</v>
      </c>
      <c r="N55" s="126">
        <f t="shared" si="26"/>
        <v>0</v>
      </c>
      <c r="O55" s="127">
        <f t="shared" si="26"/>
        <v>0</v>
      </c>
      <c r="P55" s="129">
        <f t="shared" si="26"/>
        <v>0</v>
      </c>
      <c r="Q55" s="280"/>
      <c r="R55" s="229"/>
    </row>
    <row r="56" spans="1:22" s="52" customFormat="1" ht="17.100000000000001" customHeight="1" outlineLevel="1">
      <c r="B56" s="76" t="s">
        <v>249</v>
      </c>
      <c r="C56" s="230" t="s">
        <v>250</v>
      </c>
      <c r="D56" s="231"/>
      <c r="E56" s="231"/>
      <c r="F56" s="231"/>
      <c r="G56" s="231"/>
      <c r="H56" s="145">
        <f>'Budget détaillé'!H56</f>
        <v>222</v>
      </c>
      <c r="I56" s="145">
        <f>'Budget détaillé'!I56</f>
        <v>4218</v>
      </c>
      <c r="J56" s="146">
        <f>'Budget détaillé'!J56</f>
        <v>0</v>
      </c>
      <c r="K56" s="147">
        <f>'Budget détaillé'!K56</f>
        <v>4218</v>
      </c>
      <c r="L56" s="273"/>
      <c r="M56" s="274"/>
      <c r="N56" s="274"/>
      <c r="O56" s="58"/>
      <c r="P56" s="153">
        <f>SUM(L56:O56)</f>
        <v>0</v>
      </c>
      <c r="Q56" s="104"/>
      <c r="R56" s="281"/>
    </row>
    <row r="57" spans="1:22" s="52" customFormat="1" ht="17.100000000000001" customHeight="1" outlineLevel="1">
      <c r="B57" s="76" t="s">
        <v>251</v>
      </c>
      <c r="C57" s="230" t="s">
        <v>252</v>
      </c>
      <c r="D57" s="231"/>
      <c r="E57" s="231"/>
      <c r="F57" s="231"/>
      <c r="G57" s="231"/>
      <c r="H57" s="145">
        <f>'Budget détaillé'!H57</f>
        <v>550</v>
      </c>
      <c r="I57" s="145">
        <f>'Budget détaillé'!I57</f>
        <v>10450</v>
      </c>
      <c r="J57" s="146">
        <f>'Budget détaillé'!J57</f>
        <v>0</v>
      </c>
      <c r="K57" s="147">
        <f>'Budget détaillé'!K57</f>
        <v>10450</v>
      </c>
      <c r="L57" s="273"/>
      <c r="M57" s="274"/>
      <c r="N57" s="274"/>
      <c r="O57" s="58"/>
      <c r="P57" s="153">
        <f>SUM(L57:O57)</f>
        <v>0</v>
      </c>
      <c r="Q57" s="104"/>
      <c r="R57" s="229"/>
    </row>
    <row r="58" spans="1:22" s="52" customFormat="1" ht="17.100000000000001" customHeight="1" outlineLevel="1" thickBot="1">
      <c r="B58" s="76" t="s">
        <v>253</v>
      </c>
      <c r="C58" s="230" t="s">
        <v>254</v>
      </c>
      <c r="D58" s="231"/>
      <c r="E58" s="231"/>
      <c r="F58" s="231"/>
      <c r="G58" s="231"/>
      <c r="H58" s="145">
        <f>'Budget détaillé'!H58</f>
        <v>192</v>
      </c>
      <c r="I58" s="145">
        <f>'Budget détaillé'!I58</f>
        <v>3648</v>
      </c>
      <c r="J58" s="146">
        <f>'Budget détaillé'!J58</f>
        <v>0</v>
      </c>
      <c r="K58" s="147">
        <f>'Budget détaillé'!K58</f>
        <v>3648</v>
      </c>
      <c r="L58" s="273"/>
      <c r="M58" s="274"/>
      <c r="N58" s="274"/>
      <c r="O58" s="58"/>
      <c r="P58" s="153">
        <f>SUM(L58:O58)</f>
        <v>0</v>
      </c>
      <c r="Q58" s="104"/>
      <c r="R58" s="229"/>
    </row>
    <row r="59" spans="1:22" s="52" customFormat="1" ht="21.6" customHeight="1" thickBot="1">
      <c r="B59" s="122" t="s">
        <v>255</v>
      </c>
      <c r="C59" s="123"/>
      <c r="D59" s="124"/>
      <c r="E59" s="124"/>
      <c r="F59" s="124"/>
      <c r="G59" s="124"/>
      <c r="H59" s="250"/>
      <c r="I59" s="127">
        <f>I50+I55</f>
        <v>41040</v>
      </c>
      <c r="J59" s="128">
        <f>J50+J55</f>
        <v>0</v>
      </c>
      <c r="K59" s="129">
        <f>K50+K55</f>
        <v>41040</v>
      </c>
      <c r="L59" s="127">
        <f t="shared" ref="L59:P59" si="27">L50+L55</f>
        <v>0</v>
      </c>
      <c r="M59" s="126">
        <f t="shared" si="27"/>
        <v>0</v>
      </c>
      <c r="N59" s="126">
        <f t="shared" si="27"/>
        <v>0</v>
      </c>
      <c r="O59" s="127">
        <f t="shared" si="27"/>
        <v>0</v>
      </c>
      <c r="P59" s="129">
        <f t="shared" si="27"/>
        <v>0</v>
      </c>
      <c r="Q59" s="131">
        <f>IF($K$72=0,0,K59/$K$72)</f>
        <v>0.26617375231053603</v>
      </c>
      <c r="R59" s="282" t="s">
        <v>180</v>
      </c>
      <c r="S59" s="283">
        <f>IF((K59+K46)=0,0,K59/(K59+K46))</f>
        <v>0.54204337092918009</v>
      </c>
      <c r="T59" s="132" t="s">
        <v>256</v>
      </c>
      <c r="U59" s="49"/>
    </row>
    <row r="60" spans="1:22" ht="21" customHeight="1" thickBot="1">
      <c r="A60" s="52"/>
      <c r="B60" s="256"/>
      <c r="C60" s="284"/>
      <c r="D60" s="284"/>
      <c r="E60" s="258"/>
      <c r="F60" s="258"/>
      <c r="G60" s="258"/>
      <c r="H60" s="53" t="s">
        <v>257</v>
      </c>
      <c r="I60" s="249">
        <f>IF(E7=0,0,I59/E7)</f>
        <v>2160</v>
      </c>
      <c r="J60" s="249">
        <f>IF((E7-E8)=0,0,J59/(E7-E8))</f>
        <v>0</v>
      </c>
      <c r="K60" s="260">
        <f>IF(E8=0,0,K59/E8)</f>
        <v>2160</v>
      </c>
      <c r="L60" s="197"/>
      <c r="M60" s="197"/>
      <c r="N60" s="197"/>
      <c r="O60" s="197"/>
      <c r="P60" s="197"/>
      <c r="Q60" s="52"/>
      <c r="R60" s="52"/>
      <c r="S60" s="52"/>
      <c r="T60" s="99"/>
      <c r="U60" s="52"/>
      <c r="V60" s="52"/>
    </row>
    <row r="61" spans="1:22" s="52" customFormat="1" ht="13.35" customHeight="1" thickBot="1">
      <c r="B61" s="285"/>
      <c r="C61" s="286"/>
      <c r="D61" s="286"/>
      <c r="E61" s="286"/>
      <c r="F61" s="286"/>
      <c r="G61" s="286"/>
      <c r="H61" s="286"/>
      <c r="I61" s="287"/>
      <c r="J61" s="287"/>
      <c r="K61" s="288"/>
      <c r="L61" s="289"/>
      <c r="M61" s="289"/>
      <c r="N61" s="289"/>
      <c r="O61" s="289"/>
      <c r="P61" s="289"/>
      <c r="Q61" s="290"/>
      <c r="R61" s="48"/>
    </row>
    <row r="62" spans="1:22" s="52" customFormat="1" ht="24.6" customHeight="1" thickBot="1">
      <c r="B62" s="291" t="s">
        <v>258</v>
      </c>
      <c r="C62" s="291"/>
      <c r="D62" s="292"/>
      <c r="E62" s="293"/>
      <c r="F62" s="292"/>
      <c r="G62" s="294"/>
      <c r="H62" s="295"/>
      <c r="I62" s="296">
        <f>I59+I46</f>
        <v>75713.498588957053</v>
      </c>
      <c r="J62" s="296">
        <f>J59+J46</f>
        <v>0</v>
      </c>
      <c r="K62" s="297">
        <f>K59+K46</f>
        <v>75713.498588957053</v>
      </c>
      <c r="L62" s="296">
        <f t="shared" ref="L62:O62" si="28">L59+L46</f>
        <v>0</v>
      </c>
      <c r="M62" s="296">
        <f t="shared" si="28"/>
        <v>0</v>
      </c>
      <c r="N62" s="296">
        <f t="shared" si="28"/>
        <v>0</v>
      </c>
      <c r="O62" s="296">
        <f t="shared" si="28"/>
        <v>0</v>
      </c>
      <c r="P62" s="297">
        <f>P59+P46</f>
        <v>0</v>
      </c>
      <c r="Q62" s="131">
        <f>IF($K$72=0,0,K62/$K$72)</f>
        <v>0.49105618957069141</v>
      </c>
      <c r="R62" s="132" t="s">
        <v>180</v>
      </c>
      <c r="U62" s="100"/>
      <c r="V62" s="100"/>
    </row>
    <row r="63" spans="1:22" s="100" customFormat="1" ht="18.75" customHeight="1">
      <c r="B63" s="190"/>
      <c r="C63" s="271"/>
      <c r="D63" s="298"/>
      <c r="E63" s="298"/>
      <c r="F63" s="298"/>
      <c r="G63" s="299"/>
      <c r="H63" s="299" t="s">
        <v>259</v>
      </c>
      <c r="I63" s="300">
        <f>IF(E7=0,0,I62/$E$7)</f>
        <v>3984.9209783661609</v>
      </c>
      <c r="J63" s="301">
        <f>IF(($E$7-$E$8)=0,0,J62/($E$7-$E$8))</f>
        <v>0</v>
      </c>
      <c r="K63" s="302">
        <f>IF(E8=0,0,K62/$E$8)</f>
        <v>3984.9209783661609</v>
      </c>
      <c r="L63" s="303"/>
      <c r="M63" s="303"/>
      <c r="N63" s="303"/>
      <c r="O63" s="304"/>
      <c r="P63" s="304"/>
      <c r="Q63" s="104"/>
      <c r="R63" s="229"/>
      <c r="S63" s="52"/>
    </row>
    <row r="64" spans="1:22" s="100" customFormat="1" ht="18.600000000000001" customHeight="1" thickBot="1">
      <c r="B64" s="202"/>
      <c r="C64" s="305"/>
      <c r="D64" s="306"/>
      <c r="E64" s="306"/>
      <c r="F64" s="306"/>
      <c r="G64" s="307"/>
      <c r="H64" s="307" t="s">
        <v>260</v>
      </c>
      <c r="I64" s="240">
        <f t="shared" ref="I64:P64" si="29">IF(I33=0,0,I62/I33)</f>
        <v>108.31687924028191</v>
      </c>
      <c r="J64" s="240">
        <f t="shared" si="29"/>
        <v>0</v>
      </c>
      <c r="K64" s="240">
        <f t="shared" si="29"/>
        <v>108.31687924028191</v>
      </c>
      <c r="L64" s="240">
        <f t="shared" si="29"/>
        <v>0</v>
      </c>
      <c r="M64" s="240">
        <f t="shared" si="29"/>
        <v>0</v>
      </c>
      <c r="N64" s="240">
        <f t="shared" si="29"/>
        <v>0</v>
      </c>
      <c r="O64" s="240">
        <f t="shared" si="29"/>
        <v>0</v>
      </c>
      <c r="P64" s="348">
        <f t="shared" si="29"/>
        <v>0</v>
      </c>
      <c r="Q64" s="349"/>
      <c r="R64" s="229"/>
      <c r="S64" s="52"/>
      <c r="U64" s="52"/>
      <c r="V64" s="52"/>
    </row>
    <row r="65" spans="2:24" ht="13.5" thickBot="1">
      <c r="B65" s="308"/>
      <c r="C65" s="308"/>
      <c r="D65" s="308"/>
      <c r="E65" s="308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309"/>
      <c r="R65" s="48"/>
      <c r="S65" s="52"/>
      <c r="T65" s="52"/>
      <c r="U65" s="48"/>
      <c r="V65" s="52"/>
      <c r="W65" s="52"/>
      <c r="X65" s="52"/>
    </row>
    <row r="66" spans="2:24" ht="24.6" customHeight="1" thickBot="1">
      <c r="B66" s="486" t="s">
        <v>261</v>
      </c>
      <c r="C66" s="487"/>
      <c r="D66" s="487"/>
      <c r="E66" s="487"/>
      <c r="F66" s="487"/>
      <c r="G66" s="487"/>
      <c r="H66" s="487"/>
      <c r="I66" s="487"/>
      <c r="J66" s="487"/>
      <c r="K66" s="488"/>
      <c r="L66" s="105"/>
      <c r="M66" s="106"/>
      <c r="N66" s="106"/>
      <c r="O66" s="106"/>
      <c r="P66" s="107"/>
      <c r="Q66" s="48"/>
      <c r="R66" s="48"/>
      <c r="S66" s="52"/>
      <c r="T66" s="48"/>
      <c r="U66" s="52"/>
      <c r="V66" s="52"/>
      <c r="W66" s="52"/>
      <c r="X66" s="52"/>
    </row>
    <row r="67" spans="2:24" ht="7.5" customHeight="1" thickBot="1">
      <c r="B67" s="310"/>
      <c r="C67" s="52"/>
      <c r="D67" s="52"/>
      <c r="E67" s="52"/>
      <c r="F67" s="52"/>
      <c r="G67" s="52"/>
      <c r="H67" s="89"/>
      <c r="I67" s="311"/>
      <c r="J67" s="311"/>
      <c r="K67" s="312"/>
      <c r="L67" s="313"/>
      <c r="M67" s="313"/>
      <c r="N67" s="313"/>
      <c r="O67" s="313"/>
      <c r="P67" s="313"/>
      <c r="Q67" s="50"/>
      <c r="R67" s="48"/>
      <c r="S67" s="52"/>
      <c r="T67" s="52"/>
      <c r="U67" s="48"/>
      <c r="V67" s="48"/>
      <c r="W67" s="52"/>
      <c r="X67" s="52"/>
    </row>
    <row r="68" spans="2:24" s="48" customFormat="1" ht="51.75" thickBot="1">
      <c r="B68" s="263" t="s">
        <v>262</v>
      </c>
      <c r="C68" s="264" t="s">
        <v>263</v>
      </c>
      <c r="D68" s="265"/>
      <c r="E68" s="265"/>
      <c r="F68" s="265"/>
      <c r="G68" s="265"/>
      <c r="H68" s="314"/>
      <c r="I68" s="315" t="s">
        <v>172</v>
      </c>
      <c r="J68" s="114" t="s">
        <v>173</v>
      </c>
      <c r="K68" s="115" t="s">
        <v>238</v>
      </c>
      <c r="L68" s="266" t="s">
        <v>175</v>
      </c>
      <c r="M68" s="113" t="s">
        <v>176</v>
      </c>
      <c r="N68" s="113" t="s">
        <v>177</v>
      </c>
      <c r="O68" s="316" t="s">
        <v>178</v>
      </c>
      <c r="P68" s="317" t="s">
        <v>0</v>
      </c>
      <c r="Q68" s="267"/>
      <c r="R68" s="121"/>
      <c r="U68" s="52"/>
      <c r="V68" s="52"/>
    </row>
    <row r="69" spans="2:24" ht="24" customHeight="1">
      <c r="B69" s="218" t="s">
        <v>264</v>
      </c>
      <c r="C69" s="270" t="s">
        <v>265</v>
      </c>
      <c r="D69" s="318"/>
      <c r="E69" s="318"/>
      <c r="F69" s="318"/>
      <c r="G69" s="318"/>
      <c r="H69" s="319"/>
      <c r="I69" s="320">
        <f>J69+K69</f>
        <v>154185</v>
      </c>
      <c r="J69" s="320">
        <f>'Recettes et simulat'!G16</f>
        <v>0</v>
      </c>
      <c r="K69" s="321">
        <f>'Recettes et simulat'!J28</f>
        <v>154185</v>
      </c>
      <c r="L69" s="224"/>
      <c r="M69" s="225"/>
      <c r="N69" s="322"/>
      <c r="O69" s="322"/>
      <c r="P69" s="227">
        <f>SUM(L69:O69)</f>
        <v>0</v>
      </c>
      <c r="Q69" s="48"/>
      <c r="R69" s="48"/>
      <c r="S69" s="52"/>
      <c r="T69" s="52"/>
      <c r="U69" s="52"/>
      <c r="V69" s="52"/>
      <c r="W69" s="52"/>
      <c r="X69" s="48"/>
    </row>
    <row r="70" spans="2:24" ht="27" customHeight="1" thickBot="1">
      <c r="B70" s="235" t="s">
        <v>266</v>
      </c>
      <c r="C70" s="236" t="s">
        <v>267</v>
      </c>
      <c r="D70" s="323"/>
      <c r="E70" s="323"/>
      <c r="F70" s="323"/>
      <c r="G70" s="323"/>
      <c r="H70" s="324"/>
      <c r="I70" s="325">
        <f>J70+K70</f>
        <v>0</v>
      </c>
      <c r="J70" s="326"/>
      <c r="K70" s="327">
        <f>'Recettes et simulat'!F39</f>
        <v>0</v>
      </c>
      <c r="L70" s="242"/>
      <c r="M70" s="243"/>
      <c r="N70" s="243"/>
      <c r="O70" s="328"/>
      <c r="P70" s="245">
        <f>SUM(L70:O70)</f>
        <v>0</v>
      </c>
      <c r="Q70" s="48"/>
      <c r="R70" s="48"/>
      <c r="S70" s="52"/>
      <c r="T70" s="52"/>
      <c r="U70" s="52"/>
      <c r="V70" s="52"/>
      <c r="W70" s="52"/>
      <c r="X70" s="48"/>
    </row>
    <row r="71" spans="2:24" ht="11.45" customHeight="1" thickBot="1">
      <c r="B71" s="329"/>
      <c r="C71" s="330"/>
      <c r="D71" s="331"/>
      <c r="E71" s="330"/>
      <c r="F71" s="331"/>
      <c r="G71" s="331"/>
      <c r="H71" s="331"/>
      <c r="I71" s="332"/>
      <c r="J71" s="332"/>
      <c r="K71" s="333"/>
      <c r="L71" s="332"/>
      <c r="M71" s="332"/>
      <c r="N71" s="332"/>
      <c r="O71" s="332"/>
      <c r="P71" s="332"/>
      <c r="Q71" s="334"/>
      <c r="R71" s="335"/>
      <c r="S71" s="336"/>
      <c r="T71" s="52"/>
      <c r="U71" s="52"/>
      <c r="V71" s="52"/>
      <c r="W71" s="52"/>
      <c r="X71" s="48"/>
    </row>
    <row r="72" spans="2:24" s="52" customFormat="1" ht="24.6" customHeight="1" thickBot="1">
      <c r="B72" s="291" t="s">
        <v>268</v>
      </c>
      <c r="C72" s="291"/>
      <c r="D72" s="292"/>
      <c r="E72" s="293"/>
      <c r="F72" s="292"/>
      <c r="G72" s="294"/>
      <c r="H72" s="295"/>
      <c r="I72" s="296">
        <f>I69+I70</f>
        <v>154185</v>
      </c>
      <c r="J72" s="296">
        <f>J69+J70</f>
        <v>0</v>
      </c>
      <c r="K72" s="297">
        <f>K69+K70</f>
        <v>154185</v>
      </c>
      <c r="L72" s="296">
        <f t="shared" ref="L72:O72" si="30">L69+L70</f>
        <v>0</v>
      </c>
      <c r="M72" s="296">
        <f t="shared" si="30"/>
        <v>0</v>
      </c>
      <c r="N72" s="296">
        <f t="shared" si="30"/>
        <v>0</v>
      </c>
      <c r="O72" s="296">
        <f t="shared" si="30"/>
        <v>0</v>
      </c>
      <c r="P72" s="297">
        <f>P69+P70</f>
        <v>0</v>
      </c>
      <c r="U72" s="100"/>
      <c r="V72" s="100"/>
      <c r="X72" s="48"/>
    </row>
    <row r="73" spans="2:24" s="100" customFormat="1" ht="18" customHeight="1" thickBot="1">
      <c r="B73" s="256"/>
      <c r="C73" s="284"/>
      <c r="D73" s="337"/>
      <c r="E73" s="337"/>
      <c r="F73" s="337"/>
      <c r="G73" s="338"/>
      <c r="H73" s="338" t="s">
        <v>269</v>
      </c>
      <c r="I73" s="339"/>
      <c r="J73" s="339"/>
      <c r="K73" s="340">
        <f>IF(E8=0,0,K72/$E$8)</f>
        <v>8115</v>
      </c>
      <c r="L73" s="303"/>
      <c r="M73" s="303"/>
      <c r="N73" s="303"/>
      <c r="O73" s="304"/>
      <c r="P73" s="304"/>
      <c r="Q73" s="104"/>
      <c r="R73" s="229"/>
      <c r="S73" s="52"/>
    </row>
    <row r="74" spans="2:24" s="52" customFormat="1" ht="13.5" thickBot="1">
      <c r="C74" s="308"/>
      <c r="D74" s="308"/>
      <c r="E74" s="308"/>
      <c r="F74" s="308"/>
      <c r="G74" s="308"/>
      <c r="H74" s="308"/>
      <c r="I74" s="341"/>
      <c r="J74" s="341"/>
      <c r="K74" s="341"/>
      <c r="L74" s="341"/>
      <c r="M74" s="341"/>
      <c r="N74" s="341"/>
      <c r="O74" s="341"/>
      <c r="P74" s="341"/>
      <c r="Q74" s="49"/>
      <c r="R74" s="48"/>
    </row>
    <row r="75" spans="2:24" s="52" customFormat="1" ht="24.6" customHeight="1" thickBot="1">
      <c r="B75" s="291" t="s">
        <v>270</v>
      </c>
      <c r="C75" s="291"/>
      <c r="D75" s="292"/>
      <c r="E75" s="293"/>
      <c r="F75" s="292"/>
      <c r="G75" s="294"/>
      <c r="H75" s="295"/>
      <c r="I75" s="296">
        <f t="shared" ref="I75:P75" si="31">I72-I62</f>
        <v>78471.501411042947</v>
      </c>
      <c r="J75" s="296">
        <f t="shared" si="31"/>
        <v>0</v>
      </c>
      <c r="K75" s="297">
        <f t="shared" si="31"/>
        <v>78471.501411042947</v>
      </c>
      <c r="L75" s="296">
        <f t="shared" si="31"/>
        <v>0</v>
      </c>
      <c r="M75" s="296">
        <f t="shared" si="31"/>
        <v>0</v>
      </c>
      <c r="N75" s="296">
        <f t="shared" si="31"/>
        <v>0</v>
      </c>
      <c r="O75" s="296">
        <f t="shared" si="31"/>
        <v>0</v>
      </c>
      <c r="P75" s="297">
        <f t="shared" si="31"/>
        <v>0</v>
      </c>
      <c r="Q75" s="131">
        <f>IF($K$72=0,0,K75/$K$72)</f>
        <v>0.50894381042930859</v>
      </c>
      <c r="R75" s="132" t="s">
        <v>180</v>
      </c>
      <c r="U75" s="100"/>
      <c r="V75" s="100"/>
      <c r="X75" s="48"/>
    </row>
    <row r="76" spans="2:24">
      <c r="B76" s="52"/>
      <c r="C76" s="52"/>
      <c r="D76" s="52"/>
      <c r="E76" s="52"/>
      <c r="F76" s="52"/>
      <c r="G76" s="52"/>
      <c r="H76" s="89"/>
      <c r="I76" s="90"/>
      <c r="J76" s="91"/>
      <c r="K76" s="89"/>
      <c r="L76" s="89"/>
      <c r="M76" s="89"/>
      <c r="N76" s="89"/>
      <c r="O76" s="89"/>
      <c r="P76" s="89"/>
      <c r="Q76" s="48"/>
      <c r="R76" s="48"/>
      <c r="S76" s="52"/>
      <c r="T76" s="52"/>
      <c r="U76" s="52"/>
      <c r="V76" s="52"/>
      <c r="W76" s="52"/>
      <c r="X76" s="52"/>
    </row>
  </sheetData>
  <sheetProtection algorithmName="SHA-512" hashValue="G4d7FLqAtRFTzC+c3/TnR/472nqol0dZaAGxPl58YNSERkV16YWqqsJ4mR9fpzjX4dZWPdco6IAPLwSdxZtgjA==" saltValue="1QKHKwdcMUePZ32pGUt1zA==" spinCount="100000" sheet="1" autoFilter="0"/>
  <mergeCells count="23">
    <mergeCell ref="B27:F27"/>
    <mergeCell ref="C29:F29"/>
    <mergeCell ref="C30:F30"/>
    <mergeCell ref="B32:F32"/>
    <mergeCell ref="B66:K66"/>
    <mergeCell ref="C26:F26"/>
    <mergeCell ref="H7:K7"/>
    <mergeCell ref="B11:K11"/>
    <mergeCell ref="C13:F13"/>
    <mergeCell ref="C16:F16"/>
    <mergeCell ref="C17:F17"/>
    <mergeCell ref="C18:F18"/>
    <mergeCell ref="C19:F19"/>
    <mergeCell ref="B20:F20"/>
    <mergeCell ref="C23:F23"/>
    <mergeCell ref="C24:F24"/>
    <mergeCell ref="C25:F25"/>
    <mergeCell ref="B2:K2"/>
    <mergeCell ref="L2:P2"/>
    <mergeCell ref="D5:E5"/>
    <mergeCell ref="H5:K5"/>
    <mergeCell ref="D6:E6"/>
    <mergeCell ref="H6:K6"/>
  </mergeCells>
  <printOptions horizontalCentered="1" verticalCentered="1"/>
  <pageMargins left="0.25" right="0.25" top="0.75" bottom="0.75" header="0.3" footer="0.3"/>
  <pageSetup paperSize="8" scale="56"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0c8f2d-833e-401a-8b32-9cc189896f76" xsi:nil="true"/>
    <lcf76f155ced4ddcb4097134ff3c332f xmlns="4b842ce3-9c4f-4cbd-86c3-c9c2bbf04f7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6D885B149C05479EA63B561AF395E2" ma:contentTypeVersion="8" ma:contentTypeDescription="Crée un document." ma:contentTypeScope="" ma:versionID="d05580edb3cf17591e77429707fbbe81">
  <xsd:schema xmlns:xsd="http://www.w3.org/2001/XMLSchema" xmlns:xs="http://www.w3.org/2001/XMLSchema" xmlns:p="http://schemas.microsoft.com/office/2006/metadata/properties" xmlns:ns2="4b842ce3-9c4f-4cbd-86c3-c9c2bbf04f75" xmlns:ns3="430c8f2d-833e-401a-8b32-9cc189896f76" targetNamespace="http://schemas.microsoft.com/office/2006/metadata/properties" ma:root="true" ma:fieldsID="d6a7678448bb5cbbd5bceb6e9707fb81" ns2:_="" ns3:_="">
    <xsd:import namespace="4b842ce3-9c4f-4cbd-86c3-c9c2bbf04f75"/>
    <xsd:import namespace="430c8f2d-833e-401a-8b32-9cc189896f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842ce3-9c4f-4cbd-86c3-c9c2bbf04f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ea49d64-a85b-4bdb-83f5-972de01d38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8f2d-833e-401a-8b32-9cc189896f7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91710bc-9af3-4a97-9060-a5c0a747e036}" ma:internalName="TaxCatchAll" ma:showField="CatchAllData" ma:web="430c8f2d-833e-401a-8b32-9cc189896f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49B4E5-75C5-4C9C-9F77-DFCC14479394}"/>
</file>

<file path=customXml/itemProps2.xml><?xml version="1.0" encoding="utf-8"?>
<ds:datastoreItem xmlns:ds="http://schemas.openxmlformats.org/officeDocument/2006/customXml" ds:itemID="{DD743FA3-BB69-40B0-834C-B77012F262A4}"/>
</file>

<file path=customXml/itemProps3.xml><?xml version="1.0" encoding="utf-8"?>
<ds:datastoreItem xmlns:ds="http://schemas.openxmlformats.org/officeDocument/2006/customXml" ds:itemID="{956DA6A4-F161-43EF-AFAA-3C132EA117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R.R.A.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Agathe Valley</dc:creator>
  <cp:keywords/>
  <dc:description/>
  <cp:lastModifiedBy>Stephane Charignon</cp:lastModifiedBy>
  <cp:revision/>
  <dcterms:created xsi:type="dcterms:W3CDTF">2001-05-25T13:39:11Z</dcterms:created>
  <dcterms:modified xsi:type="dcterms:W3CDTF">2023-05-15T07:29:10Z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0x010100336D885B149C05479EA63B561AF395E2</vt:lpwstr>
  </property>
  <property fmtid="{D5CDD505-2E9C-101B-9397-08002B2CF9AE}" pid="3" name="MediaServiceImageTags">
    <vt:lpwstr/>
  </property>
</Properties>
</file>