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showInkAnnotation="0"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1_25\06_Licence Pro Assistant Juridique_3 ans\06.01_Kit alternance LP_AJ 3 ans\"/>
    </mc:Choice>
  </mc:AlternateContent>
  <xr:revisionPtr revIDLastSave="0" documentId="13_ncr:1_{A9301C94-46F5-4ED6-A57E-5FAA0D59C055}" xr6:coauthVersionLast="36" xr6:coauthVersionMax="47" xr10:uidLastSave="{00000000-0000-0000-0000-000000000000}"/>
  <bookViews>
    <workbookView xWindow="0" yWindow="0" windowWidth="28470" windowHeight="10695" activeTab="1" xr2:uid="{00000000-000D-0000-FFFF-FFFF00000000}"/>
  </bookViews>
  <sheets>
    <sheet name="calcul heures" sheetId="43" state="hidden" r:id="rId1"/>
    <sheet name="Enseignements" sheetId="39" r:id="rId2"/>
    <sheet name="Recettes et simulat" sheetId="40" r:id="rId3"/>
    <sheet name="Budget détaillé" sheetId="41" r:id="rId4"/>
    <sheet name="Paramétrage" sheetId="36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40" l="1"/>
  <c r="K19" i="40"/>
  <c r="K20" i="40"/>
  <c r="K21" i="40"/>
  <c r="K22" i="40"/>
  <c r="K23" i="40"/>
  <c r="K24" i="40"/>
  <c r="K25" i="40"/>
  <c r="K26" i="40"/>
  <c r="K17" i="40"/>
  <c r="H18" i="40" l="1"/>
  <c r="H19" i="40"/>
  <c r="H20" i="40"/>
  <c r="H21" i="40"/>
  <c r="H22" i="40"/>
  <c r="H23" i="40"/>
  <c r="H24" i="40"/>
  <c r="H25" i="40"/>
  <c r="H26" i="40"/>
  <c r="H17" i="40"/>
  <c r="F16" i="43" l="1"/>
  <c r="F15" i="43"/>
  <c r="E16" i="43"/>
  <c r="E15" i="43"/>
  <c r="D16" i="43"/>
  <c r="D15" i="43"/>
  <c r="D2" i="43"/>
  <c r="J5" i="39"/>
  <c r="AC89" i="39"/>
  <c r="AC88" i="39"/>
  <c r="AC87" i="39"/>
  <c r="AC86" i="39"/>
  <c r="AC85" i="39"/>
  <c r="AC84" i="39"/>
  <c r="AC83" i="39"/>
  <c r="AC82" i="39"/>
  <c r="AC81" i="39"/>
  <c r="AC80" i="39"/>
  <c r="AC79" i="39"/>
  <c r="AC78" i="39"/>
  <c r="AC77" i="39"/>
  <c r="AC76" i="39"/>
  <c r="AC75" i="39"/>
  <c r="AC74" i="39"/>
  <c r="AC73" i="39"/>
  <c r="AC72" i="39"/>
  <c r="AC71" i="39"/>
  <c r="AC70" i="39"/>
  <c r="AC69" i="39"/>
  <c r="AC68" i="39"/>
  <c r="AC67" i="39"/>
  <c r="AC66" i="39"/>
  <c r="AC65" i="39"/>
  <c r="AC64" i="39"/>
  <c r="AC63" i="39"/>
  <c r="AC62" i="39"/>
  <c r="AC61" i="39"/>
  <c r="AC60" i="39"/>
  <c r="AC59" i="39"/>
  <c r="AC58" i="39"/>
  <c r="AC57" i="39"/>
  <c r="AC56" i="39"/>
  <c r="AC55" i="39"/>
  <c r="AC54" i="39"/>
  <c r="AC53" i="39"/>
  <c r="AC52" i="39"/>
  <c r="AC51" i="39"/>
  <c r="AC50" i="39"/>
  <c r="D13" i="43" s="1"/>
  <c r="AC22" i="39"/>
  <c r="AC23" i="39"/>
  <c r="AC24" i="39"/>
  <c r="AC25" i="39"/>
  <c r="AC26" i="39"/>
  <c r="AC27" i="39"/>
  <c r="AC28" i="39"/>
  <c r="AC29" i="39"/>
  <c r="AC30" i="39"/>
  <c r="AC31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AC48" i="39"/>
  <c r="AC10" i="39"/>
  <c r="AC11" i="39"/>
  <c r="AC12" i="39"/>
  <c r="AC13" i="39"/>
  <c r="AC14" i="39"/>
  <c r="AC15" i="39"/>
  <c r="AC16" i="39"/>
  <c r="AC17" i="39"/>
  <c r="AC18" i="39"/>
  <c r="AC19" i="39"/>
  <c r="AC20" i="39"/>
  <c r="AC21" i="39"/>
  <c r="AC9" i="39"/>
  <c r="AD35" i="39"/>
  <c r="AD36" i="39"/>
  <c r="AD37" i="39"/>
  <c r="AD38" i="39"/>
  <c r="AD39" i="39"/>
  <c r="AD40" i="39"/>
  <c r="AD41" i="39"/>
  <c r="AD42" i="39"/>
  <c r="AD43" i="39"/>
  <c r="AD44" i="39"/>
  <c r="AD45" i="39"/>
  <c r="AD46" i="39"/>
  <c r="AD47" i="39"/>
  <c r="AD48" i="39"/>
  <c r="AD63" i="39"/>
  <c r="AD64" i="39"/>
  <c r="AD65" i="39"/>
  <c r="AD66" i="39"/>
  <c r="AD67" i="39"/>
  <c r="AD68" i="39"/>
  <c r="AD69" i="39"/>
  <c r="AD70" i="39"/>
  <c r="AD71" i="39"/>
  <c r="AD72" i="39"/>
  <c r="AD73" i="39"/>
  <c r="AD74" i="39"/>
  <c r="AD75" i="39"/>
  <c r="AD76" i="39"/>
  <c r="AD77" i="39"/>
  <c r="AD78" i="39"/>
  <c r="AD79" i="39"/>
  <c r="AD80" i="39"/>
  <c r="AD81" i="39"/>
  <c r="AD82" i="39"/>
  <c r="AD83" i="39"/>
  <c r="AD84" i="39"/>
  <c r="AD85" i="39"/>
  <c r="AD86" i="39"/>
  <c r="AD87" i="39"/>
  <c r="AD88" i="39"/>
  <c r="E14" i="43" l="1"/>
  <c r="D14" i="43"/>
  <c r="F9" i="43"/>
  <c r="E8" i="43"/>
  <c r="D6" i="43"/>
  <c r="E6" i="43"/>
  <c r="D9" i="43"/>
  <c r="E9" i="43"/>
  <c r="D7" i="43"/>
  <c r="E7" i="43"/>
  <c r="D12" i="43"/>
  <c r="F7" i="43"/>
  <c r="D8" i="43"/>
  <c r="R24" i="41"/>
  <c r="D17" i="43" l="1"/>
  <c r="Q63" i="39" l="1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89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Q48" i="39"/>
  <c r="X90" i="39" l="1"/>
  <c r="V90" i="39"/>
  <c r="X49" i="39"/>
  <c r="X8" i="39" l="1"/>
  <c r="P89" i="39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Q62" i="39" s="1"/>
  <c r="S62" i="39" s="1"/>
  <c r="W62" i="39" s="1"/>
  <c r="P61" i="39"/>
  <c r="Q61" i="39" s="1"/>
  <c r="S61" i="39" s="1"/>
  <c r="U61" i="39" s="1"/>
  <c r="P60" i="39"/>
  <c r="Q60" i="39" s="1"/>
  <c r="S60" i="39" s="1"/>
  <c r="P59" i="39"/>
  <c r="Q59" i="39" s="1"/>
  <c r="P58" i="39"/>
  <c r="Q58" i="39" s="1"/>
  <c r="P57" i="39"/>
  <c r="Q57" i="39" s="1"/>
  <c r="S57" i="39" s="1"/>
  <c r="W57" i="39" s="1"/>
  <c r="P56" i="39"/>
  <c r="P55" i="39"/>
  <c r="P54" i="39"/>
  <c r="P53" i="39"/>
  <c r="P52" i="39"/>
  <c r="P51" i="39"/>
  <c r="P50" i="39"/>
  <c r="Q50" i="39" s="1"/>
  <c r="P48" i="39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Q33" i="39" s="1"/>
  <c r="P32" i="39"/>
  <c r="Q32" i="39" s="1"/>
  <c r="P31" i="39"/>
  <c r="Q31" i="39" s="1"/>
  <c r="P30" i="39"/>
  <c r="Q30" i="39" s="1"/>
  <c r="P29" i="39"/>
  <c r="Q2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Q20" i="39" s="1"/>
  <c r="P21" i="39"/>
  <c r="P22" i="39"/>
  <c r="Q22" i="39" s="1"/>
  <c r="S22" i="39" s="1"/>
  <c r="P23" i="39"/>
  <c r="P24" i="39"/>
  <c r="Q24" i="39" s="1"/>
  <c r="P25" i="39"/>
  <c r="Q25" i="39" s="1"/>
  <c r="S25" i="39" s="1"/>
  <c r="P26" i="39"/>
  <c r="Q26" i="39" s="1"/>
  <c r="S26" i="39" s="1"/>
  <c r="P27" i="39"/>
  <c r="Q27" i="39" s="1"/>
  <c r="S27" i="39" s="1"/>
  <c r="P28" i="39"/>
  <c r="Q28" i="39" s="1"/>
  <c r="S28" i="39" s="1"/>
  <c r="P9" i="39"/>
  <c r="Q9" i="39" s="1"/>
  <c r="S89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Q51" i="39" l="1"/>
  <c r="S51" i="39" s="1"/>
  <c r="U51" i="39" s="1"/>
  <c r="Q53" i="39"/>
  <c r="S53" i="39" s="1"/>
  <c r="W53" i="39" s="1"/>
  <c r="Q54" i="39"/>
  <c r="S54" i="39" s="1"/>
  <c r="Q55" i="39"/>
  <c r="Q23" i="39"/>
  <c r="S23" i="39" s="1"/>
  <c r="Q56" i="39"/>
  <c r="S56" i="39" s="1"/>
  <c r="U56" i="39" s="1"/>
  <c r="Q52" i="39"/>
  <c r="S52" i="39" s="1"/>
  <c r="W52" i="39" s="1"/>
  <c r="Q21" i="39"/>
  <c r="S21" i="39" s="1"/>
  <c r="S20" i="39"/>
  <c r="S19" i="39"/>
  <c r="W19" i="39" s="1"/>
  <c r="S11" i="39"/>
  <c r="U11" i="39" s="1"/>
  <c r="S18" i="39"/>
  <c r="U18" i="39" s="1"/>
  <c r="S10" i="39"/>
  <c r="W10" i="39" s="1"/>
  <c r="S17" i="39"/>
  <c r="S16" i="39"/>
  <c r="W16" i="39" s="1"/>
  <c r="S15" i="39"/>
  <c r="U15" i="39" s="1"/>
  <c r="S14" i="39"/>
  <c r="W14" i="39" s="1"/>
  <c r="S50" i="39"/>
  <c r="U50" i="39" s="1"/>
  <c r="S13" i="39"/>
  <c r="U13" i="39" s="1"/>
  <c r="S12" i="39"/>
  <c r="W12" i="39" s="1"/>
  <c r="S9" i="39"/>
  <c r="F6" i="43" l="1"/>
  <c r="T9" i="39"/>
  <c r="W9" i="39"/>
  <c r="Q90" i="39"/>
  <c r="S55" i="39"/>
  <c r="W55" i="39" s="1"/>
  <c r="T11" i="39"/>
  <c r="Q49" i="39"/>
  <c r="Q91" i="39" l="1"/>
  <c r="L62" i="41" l="1"/>
  <c r="M62" i="41"/>
  <c r="N62" i="41"/>
  <c r="O62" i="41"/>
  <c r="P62" i="41"/>
  <c r="K7" i="41" l="1"/>
  <c r="J7" i="41"/>
  <c r="H6" i="41"/>
  <c r="E6" i="41"/>
  <c r="H5" i="41"/>
  <c r="D5" i="41"/>
  <c r="H4" i="41"/>
  <c r="H49" i="41" s="1"/>
  <c r="D4" i="41"/>
  <c r="Y89" i="39"/>
  <c r="E13" i="43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57" i="39"/>
  <c r="Y48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11" i="39"/>
  <c r="Y25" i="39"/>
  <c r="Y26" i="39"/>
  <c r="Y27" i="39"/>
  <c r="Y28" i="39"/>
  <c r="Y9" i="39"/>
  <c r="O70" i="41" l="1"/>
  <c r="N70" i="41"/>
  <c r="M70" i="41"/>
  <c r="L70" i="41"/>
  <c r="P68" i="41"/>
  <c r="P67" i="41"/>
  <c r="P56" i="41"/>
  <c r="P55" i="41"/>
  <c r="P54" i="41"/>
  <c r="O53" i="41"/>
  <c r="N53" i="41"/>
  <c r="M53" i="41"/>
  <c r="L53" i="41"/>
  <c r="P52" i="41"/>
  <c r="P51" i="41"/>
  <c r="P50" i="41"/>
  <c r="P49" i="41"/>
  <c r="O48" i="41"/>
  <c r="O57" i="41" s="1"/>
  <c r="N48" i="41"/>
  <c r="M48" i="41"/>
  <c r="M57" i="41" s="1"/>
  <c r="L48" i="41"/>
  <c r="L57" i="41" s="1"/>
  <c r="O47" i="41"/>
  <c r="N47" i="41"/>
  <c r="M47" i="41"/>
  <c r="L47" i="41"/>
  <c r="P42" i="41"/>
  <c r="P41" i="41"/>
  <c r="P40" i="41"/>
  <c r="K40" i="41"/>
  <c r="P39" i="41"/>
  <c r="J39" i="41"/>
  <c r="P38" i="41"/>
  <c r="P37" i="41"/>
  <c r="P36" i="41"/>
  <c r="P35" i="41"/>
  <c r="P34" i="41"/>
  <c r="O33" i="41"/>
  <c r="N33" i="41"/>
  <c r="M33" i="41"/>
  <c r="L33" i="41"/>
  <c r="I33" i="41"/>
  <c r="O30" i="41"/>
  <c r="N30" i="41"/>
  <c r="M30" i="41"/>
  <c r="L30" i="41"/>
  <c r="G30" i="41"/>
  <c r="P29" i="41"/>
  <c r="P28" i="41"/>
  <c r="P27" i="41"/>
  <c r="H27" i="41"/>
  <c r="I27" i="41" s="1"/>
  <c r="U26" i="41"/>
  <c r="T26" i="41"/>
  <c r="S26" i="41"/>
  <c r="R26" i="41"/>
  <c r="O25" i="41"/>
  <c r="N25" i="41"/>
  <c r="M25" i="41"/>
  <c r="L25" i="41"/>
  <c r="P24" i="41"/>
  <c r="P23" i="41"/>
  <c r="P22" i="41"/>
  <c r="P21" i="41"/>
  <c r="P20" i="41"/>
  <c r="O18" i="41"/>
  <c r="N18" i="41"/>
  <c r="M18" i="41"/>
  <c r="L18" i="41"/>
  <c r="P17" i="41"/>
  <c r="P16" i="41"/>
  <c r="P15" i="41"/>
  <c r="P14" i="41"/>
  <c r="F38" i="40"/>
  <c r="G27" i="40"/>
  <c r="L26" i="40"/>
  <c r="I26" i="40"/>
  <c r="L25" i="40"/>
  <c r="I25" i="40"/>
  <c r="L24" i="40"/>
  <c r="I24" i="40"/>
  <c r="L23" i="40"/>
  <c r="I23" i="40"/>
  <c r="L22" i="40"/>
  <c r="I22" i="40"/>
  <c r="G15" i="40" l="1"/>
  <c r="H15" i="40" s="1"/>
  <c r="D3" i="43"/>
  <c r="H55" i="41"/>
  <c r="H54" i="41"/>
  <c r="H52" i="41"/>
  <c r="H51" i="41"/>
  <c r="H50" i="41"/>
  <c r="H56" i="41"/>
  <c r="L12" i="41"/>
  <c r="S59" i="39"/>
  <c r="W59" i="39" s="1"/>
  <c r="H27" i="40"/>
  <c r="K68" i="41"/>
  <c r="I68" i="41" s="1"/>
  <c r="J40" i="41"/>
  <c r="E7" i="41"/>
  <c r="K38" i="41" s="1"/>
  <c r="P53" i="41"/>
  <c r="P70" i="41"/>
  <c r="O12" i="41"/>
  <c r="M12" i="41"/>
  <c r="P33" i="41"/>
  <c r="N57" i="41"/>
  <c r="P18" i="41"/>
  <c r="N12" i="41"/>
  <c r="P25" i="41"/>
  <c r="L44" i="41"/>
  <c r="L60" i="41" s="1"/>
  <c r="L73" i="41" s="1"/>
  <c r="P30" i="41"/>
  <c r="M44" i="41"/>
  <c r="M60" i="41" s="1"/>
  <c r="M73" i="41" s="1"/>
  <c r="P48" i="41"/>
  <c r="N44" i="41"/>
  <c r="O44" i="41"/>
  <c r="O60" i="41" s="1"/>
  <c r="O73" i="41" s="1"/>
  <c r="I43" i="41"/>
  <c r="H16" i="43" l="1"/>
  <c r="G16" i="43"/>
  <c r="H15" i="43"/>
  <c r="G15" i="43"/>
  <c r="H9" i="43"/>
  <c r="K17" i="41" s="1"/>
  <c r="G9" i="43"/>
  <c r="H7" i="43"/>
  <c r="K15" i="41" s="1"/>
  <c r="G7" i="43"/>
  <c r="H6" i="43"/>
  <c r="K14" i="41" s="1"/>
  <c r="G6" i="43"/>
  <c r="R49" i="39"/>
  <c r="S24" i="39"/>
  <c r="R90" i="39"/>
  <c r="S58" i="39"/>
  <c r="W58" i="39" s="1"/>
  <c r="K27" i="41"/>
  <c r="J27" i="41" s="1"/>
  <c r="K34" i="41"/>
  <c r="K42" i="41"/>
  <c r="J67" i="41"/>
  <c r="J70" i="41" s="1"/>
  <c r="K35" i="41"/>
  <c r="J35" i="41" s="1"/>
  <c r="K27" i="40"/>
  <c r="K41" i="41"/>
  <c r="J41" i="41" s="1"/>
  <c r="K37" i="41"/>
  <c r="I49" i="41"/>
  <c r="K36" i="41"/>
  <c r="J36" i="41" s="1"/>
  <c r="J38" i="41"/>
  <c r="N60" i="41"/>
  <c r="N73" i="41" s="1"/>
  <c r="P44" i="41"/>
  <c r="P57" i="41"/>
  <c r="P12" i="41"/>
  <c r="I15" i="43" l="1"/>
  <c r="G23" i="41" s="1"/>
  <c r="I16" i="43"/>
  <c r="G24" i="41" s="1"/>
  <c r="J17" i="41"/>
  <c r="I9" i="43"/>
  <c r="G17" i="41" s="1"/>
  <c r="I17" i="41" s="1"/>
  <c r="J15" i="41"/>
  <c r="I7" i="43"/>
  <c r="G15" i="41" s="1"/>
  <c r="J14" i="41"/>
  <c r="I6" i="43"/>
  <c r="G14" i="41" s="1"/>
  <c r="F8" i="43"/>
  <c r="R13" i="41"/>
  <c r="P60" i="41"/>
  <c r="P73" i="41" s="1"/>
  <c r="R91" i="39"/>
  <c r="S90" i="39"/>
  <c r="J34" i="41"/>
  <c r="S49" i="39"/>
  <c r="J42" i="41"/>
  <c r="J37" i="41"/>
  <c r="K33" i="41"/>
  <c r="K43" i="41" s="1"/>
  <c r="K49" i="41"/>
  <c r="K67" i="41"/>
  <c r="I67" i="41" s="1"/>
  <c r="I70" i="41" s="1"/>
  <c r="G8" i="43" l="1"/>
  <c r="H8" i="43"/>
  <c r="K16" i="41" s="1"/>
  <c r="S91" i="39"/>
  <c r="K70" i="41"/>
  <c r="K71" i="41" s="1"/>
  <c r="J49" i="41"/>
  <c r="J33" i="41"/>
  <c r="J43" i="41" s="1"/>
  <c r="J16" i="41" l="1"/>
  <c r="I8" i="43"/>
  <c r="G16" i="41" s="1"/>
  <c r="Q33" i="41"/>
  <c r="AE85" i="39"/>
  <c r="T85" i="39"/>
  <c r="AE84" i="39"/>
  <c r="T84" i="39"/>
  <c r="AE83" i="39"/>
  <c r="T83" i="39"/>
  <c r="AE82" i="39"/>
  <c r="T82" i="39"/>
  <c r="AE81" i="39"/>
  <c r="T81" i="39"/>
  <c r="AE80" i="39"/>
  <c r="T80" i="39"/>
  <c r="AE79" i="39"/>
  <c r="T79" i="39"/>
  <c r="AE78" i="39"/>
  <c r="T78" i="39"/>
  <c r="AE77" i="39"/>
  <c r="T77" i="39"/>
  <c r="AE76" i="39"/>
  <c r="T76" i="39"/>
  <c r="AE75" i="39"/>
  <c r="T75" i="39"/>
  <c r="AE74" i="39"/>
  <c r="T74" i="39"/>
  <c r="AE73" i="39"/>
  <c r="T73" i="39"/>
  <c r="T52" i="39"/>
  <c r="AE52" i="39"/>
  <c r="AD52" i="39" s="1"/>
  <c r="T53" i="39"/>
  <c r="Y53" i="39" s="1"/>
  <c r="AE53" i="39"/>
  <c r="AD53" i="39" s="1"/>
  <c r="T54" i="39"/>
  <c r="Y54" i="39" s="1"/>
  <c r="AE54" i="39"/>
  <c r="AD54" i="39" s="1"/>
  <c r="T55" i="39"/>
  <c r="Y55" i="39" s="1"/>
  <c r="AE55" i="39"/>
  <c r="AD55" i="39" s="1"/>
  <c r="T56" i="39"/>
  <c r="Y56" i="39" s="1"/>
  <c r="AE56" i="39"/>
  <c r="AD56" i="39" s="1"/>
  <c r="T57" i="39"/>
  <c r="AE57" i="39"/>
  <c r="AD57" i="39" s="1"/>
  <c r="T58" i="39"/>
  <c r="Y58" i="39" s="1"/>
  <c r="AE58" i="39"/>
  <c r="AD58" i="39" s="1"/>
  <c r="T59" i="39"/>
  <c r="Y59" i="39" s="1"/>
  <c r="AE59" i="39"/>
  <c r="AD59" i="39" s="1"/>
  <c r="T60" i="39"/>
  <c r="Y60" i="39" s="1"/>
  <c r="E12" i="43" s="1"/>
  <c r="E17" i="43" s="1"/>
  <c r="AE60" i="39"/>
  <c r="AD60" i="39" s="1"/>
  <c r="T61" i="39"/>
  <c r="AE61" i="39"/>
  <c r="AD61" i="39" s="1"/>
  <c r="T62" i="39"/>
  <c r="AE62" i="39"/>
  <c r="AD62" i="39" s="1"/>
  <c r="T63" i="39"/>
  <c r="AE63" i="39"/>
  <c r="AE35" i="39"/>
  <c r="T35" i="39"/>
  <c r="AE34" i="39"/>
  <c r="AD34" i="39" s="1"/>
  <c r="T34" i="39"/>
  <c r="AE38" i="39"/>
  <c r="T38" i="39"/>
  <c r="AE37" i="39"/>
  <c r="T37" i="39"/>
  <c r="AE36" i="39"/>
  <c r="T36" i="39"/>
  <c r="AE33" i="39"/>
  <c r="AD33" i="39" s="1"/>
  <c r="T33" i="39"/>
  <c r="AE32" i="39"/>
  <c r="AD32" i="39" s="1"/>
  <c r="T32" i="39"/>
  <c r="T15" i="39"/>
  <c r="AE15" i="39"/>
  <c r="AD15" i="39" s="1"/>
  <c r="T16" i="39"/>
  <c r="AE16" i="39"/>
  <c r="AD16" i="39" s="1"/>
  <c r="T17" i="39"/>
  <c r="AE17" i="39"/>
  <c r="AD17" i="39" s="1"/>
  <c r="K5" i="39" s="1"/>
  <c r="AE31" i="39"/>
  <c r="AD31" i="39" s="1"/>
  <c r="AE39" i="39"/>
  <c r="AE40" i="39"/>
  <c r="AE41" i="39"/>
  <c r="AE42" i="39"/>
  <c r="T31" i="39"/>
  <c r="T39" i="39"/>
  <c r="T40" i="39"/>
  <c r="T41" i="39"/>
  <c r="T42" i="39"/>
  <c r="T43" i="39"/>
  <c r="T44" i="39"/>
  <c r="AE13" i="39"/>
  <c r="AD13" i="39" s="1"/>
  <c r="AE14" i="39"/>
  <c r="AD14" i="39" s="1"/>
  <c r="AE18" i="39"/>
  <c r="AD18" i="39" s="1"/>
  <c r="AE19" i="39"/>
  <c r="AD19" i="39" s="1"/>
  <c r="AE20" i="39"/>
  <c r="AD20" i="39" s="1"/>
  <c r="AE21" i="39"/>
  <c r="AD21" i="39" s="1"/>
  <c r="AE22" i="39"/>
  <c r="AD22" i="39" s="1"/>
  <c r="AE23" i="39"/>
  <c r="AD23" i="39" s="1"/>
  <c r="AE24" i="39"/>
  <c r="AD24" i="39" s="1"/>
  <c r="T24" i="39"/>
  <c r="T23" i="39"/>
  <c r="T22" i="39"/>
  <c r="T21" i="39"/>
  <c r="T20" i="39"/>
  <c r="T19" i="39"/>
  <c r="T18" i="39"/>
  <c r="T14" i="39"/>
  <c r="T13" i="39"/>
  <c r="J3" i="39" l="1"/>
  <c r="J4" i="39"/>
  <c r="Y24" i="39"/>
  <c r="U90" i="39"/>
  <c r="Y52" i="39"/>
  <c r="Y20" i="39"/>
  <c r="Y16" i="39"/>
  <c r="Y13" i="39"/>
  <c r="Y17" i="39"/>
  <c r="Y14" i="39"/>
  <c r="Y15" i="39"/>
  <c r="Y18" i="39"/>
  <c r="Y21" i="39"/>
  <c r="Y22" i="39"/>
  <c r="Y23" i="39"/>
  <c r="F14" i="43" l="1"/>
  <c r="V49" i="39"/>
  <c r="V8" i="39" s="1"/>
  <c r="H23" i="41"/>
  <c r="W49" i="39"/>
  <c r="Y19" i="39"/>
  <c r="G14" i="43" l="1"/>
  <c r="H14" i="43"/>
  <c r="K23" i="41"/>
  <c r="J23" i="41"/>
  <c r="I23" i="41"/>
  <c r="I15" i="41"/>
  <c r="I14" i="43" l="1"/>
  <c r="G22" i="41" s="1"/>
  <c r="AE72" i="39"/>
  <c r="AE86" i="39"/>
  <c r="AE87" i="39"/>
  <c r="T89" i="39" l="1"/>
  <c r="T88" i="39"/>
  <c r="T87" i="39"/>
  <c r="T86" i="39"/>
  <c r="T69" i="39"/>
  <c r="T68" i="39"/>
  <c r="T67" i="39"/>
  <c r="T66" i="39"/>
  <c r="T65" i="39"/>
  <c r="AE69" i="39"/>
  <c r="AE68" i="39"/>
  <c r="AE67" i="39"/>
  <c r="AE66" i="39"/>
  <c r="AE65" i="39"/>
  <c r="AE64" i="39"/>
  <c r="AE89" i="39"/>
  <c r="AD89" i="39" s="1"/>
  <c r="L5" i="39" s="1"/>
  <c r="AE88" i="39"/>
  <c r="AE71" i="39"/>
  <c r="AE70" i="39"/>
  <c r="R8" i="39"/>
  <c r="AE48" i="39"/>
  <c r="T48" i="39"/>
  <c r="AE47" i="39"/>
  <c r="T47" i="39"/>
  <c r="AE46" i="39"/>
  <c r="T46" i="39"/>
  <c r="AE45" i="39"/>
  <c r="T45" i="39"/>
  <c r="AE44" i="39"/>
  <c r="AE43" i="39"/>
  <c r="AE28" i="39"/>
  <c r="AD28" i="39" s="1"/>
  <c r="T28" i="39"/>
  <c r="AE27" i="39"/>
  <c r="AD27" i="39" s="1"/>
  <c r="T27" i="39"/>
  <c r="AE26" i="39"/>
  <c r="AD26" i="39" s="1"/>
  <c r="T26" i="39"/>
  <c r="AE25" i="39"/>
  <c r="AD25" i="39" s="1"/>
  <c r="T25" i="39"/>
  <c r="AE12" i="39"/>
  <c r="AD12" i="39" s="1"/>
  <c r="T12" i="39"/>
  <c r="AE11" i="39"/>
  <c r="AD11" i="39" s="1"/>
  <c r="Y12" i="39" l="1"/>
  <c r="H22" i="41"/>
  <c r="T72" i="39"/>
  <c r="T71" i="39"/>
  <c r="T70" i="39"/>
  <c r="AE50" i="39"/>
  <c r="AD50" i="39" s="1"/>
  <c r="L3" i="39" l="1"/>
  <c r="L4" i="39"/>
  <c r="J22" i="41"/>
  <c r="K22" i="41"/>
  <c r="I22" i="41"/>
  <c r="T30" i="39"/>
  <c r="T64" i="39"/>
  <c r="AE30" i="39"/>
  <c r="AD30" i="39" s="1"/>
  <c r="AE29" i="39"/>
  <c r="AD29" i="39" s="1"/>
  <c r="AE51" i="39"/>
  <c r="AE9" i="39"/>
  <c r="AD9" i="39" s="1"/>
  <c r="AE10" i="39"/>
  <c r="AD10" i="39" s="1"/>
  <c r="I3" i="39" l="1"/>
  <c r="I5" i="39"/>
  <c r="AE90" i="39"/>
  <c r="AD51" i="39"/>
  <c r="I4" i="39"/>
  <c r="AD49" i="39"/>
  <c r="AE49" i="39"/>
  <c r="Q8" i="39"/>
  <c r="T29" i="39"/>
  <c r="K4" i="39" l="1"/>
  <c r="H4" i="39" s="1"/>
  <c r="K3" i="39"/>
  <c r="H3" i="39" s="1"/>
  <c r="AD90" i="39"/>
  <c r="H90" i="39" s="1"/>
  <c r="H5" i="39"/>
  <c r="D21" i="40" s="1"/>
  <c r="H49" i="39"/>
  <c r="S8" i="39"/>
  <c r="T51" i="39"/>
  <c r="Y51" i="39" s="1"/>
  <c r="F12" i="43" s="1"/>
  <c r="T10" i="39"/>
  <c r="T50" i="39"/>
  <c r="D18" i="40" l="1"/>
  <c r="D19" i="40"/>
  <c r="D20" i="40"/>
  <c r="D17" i="40"/>
  <c r="G12" i="43"/>
  <c r="H12" i="43"/>
  <c r="H91" i="39"/>
  <c r="H6" i="39"/>
  <c r="W90" i="39"/>
  <c r="W8" i="39" s="1"/>
  <c r="Y50" i="39"/>
  <c r="F13" i="43" s="1"/>
  <c r="T49" i="39"/>
  <c r="Y10" i="39"/>
  <c r="Y49" i="39" s="1"/>
  <c r="T90" i="39"/>
  <c r="I27" i="40" l="1"/>
  <c r="L17" i="40"/>
  <c r="I17" i="40"/>
  <c r="D27" i="40"/>
  <c r="L27" i="40" s="1"/>
  <c r="L20" i="40"/>
  <c r="I20" i="40"/>
  <c r="L21" i="40"/>
  <c r="I21" i="40"/>
  <c r="I19" i="40"/>
  <c r="L19" i="40"/>
  <c r="L18" i="40"/>
  <c r="I18" i="40"/>
  <c r="I12" i="43"/>
  <c r="G20" i="41" s="1"/>
  <c r="H20" i="41" s="1"/>
  <c r="J20" i="41" s="1"/>
  <c r="F17" i="43"/>
  <c r="G13" i="43"/>
  <c r="H13" i="43"/>
  <c r="I55" i="41"/>
  <c r="I51" i="41"/>
  <c r="I54" i="41"/>
  <c r="Y90" i="39"/>
  <c r="Y8" i="39" s="1"/>
  <c r="I16" i="41"/>
  <c r="T91" i="39"/>
  <c r="U49" i="39"/>
  <c r="U8" i="39" s="1"/>
  <c r="T8" i="39"/>
  <c r="I13" i="43" l="1"/>
  <c r="G21" i="41" s="1"/>
  <c r="H21" i="41" s="1"/>
  <c r="I21" i="41" s="1"/>
  <c r="H17" i="43"/>
  <c r="G17" i="43"/>
  <c r="K20" i="41"/>
  <c r="I20" i="41"/>
  <c r="I52" i="41"/>
  <c r="K52" i="41" s="1"/>
  <c r="I50" i="41"/>
  <c r="K50" i="41" s="1"/>
  <c r="I56" i="41"/>
  <c r="I53" i="41" s="1"/>
  <c r="H24" i="41"/>
  <c r="I14" i="41"/>
  <c r="G18" i="41"/>
  <c r="K51" i="41"/>
  <c r="J51" i="41" s="1"/>
  <c r="K55" i="41"/>
  <c r="J55" i="41" s="1"/>
  <c r="K54" i="41"/>
  <c r="I17" i="43" l="1"/>
  <c r="G25" i="41"/>
  <c r="I31" i="41" s="1"/>
  <c r="K21" i="41"/>
  <c r="J21" i="41"/>
  <c r="I48" i="41"/>
  <c r="I57" i="41" s="1"/>
  <c r="K56" i="41"/>
  <c r="J56" i="41" s="1"/>
  <c r="J24" i="41"/>
  <c r="K24" i="41"/>
  <c r="I24" i="41"/>
  <c r="I25" i="41" s="1"/>
  <c r="S24" i="41"/>
  <c r="K18" i="41"/>
  <c r="I18" i="41"/>
  <c r="J54" i="41"/>
  <c r="J50" i="41"/>
  <c r="K48" i="41"/>
  <c r="J52" i="41"/>
  <c r="H25" i="41" l="1"/>
  <c r="G12" i="41"/>
  <c r="K53" i="41"/>
  <c r="K57" i="41" s="1"/>
  <c r="Q57" i="41" s="1"/>
  <c r="K25" i="41"/>
  <c r="Q25" i="41" s="1"/>
  <c r="Q18" i="41"/>
  <c r="H18" i="41"/>
  <c r="J53" i="41"/>
  <c r="I58" i="41"/>
  <c r="J48" i="41"/>
  <c r="J25" i="41" l="1"/>
  <c r="J18" i="41"/>
  <c r="H28" i="41"/>
  <c r="I28" i="41" s="1"/>
  <c r="H29" i="41"/>
  <c r="I29" i="41" s="1"/>
  <c r="J57" i="41"/>
  <c r="J58" i="41" s="1"/>
  <c r="K58" i="41"/>
  <c r="Q24" i="41" l="1"/>
  <c r="K29" i="41"/>
  <c r="J29" i="41" s="1"/>
  <c r="I30" i="41"/>
  <c r="K28" i="41"/>
  <c r="J28" i="41" s="1"/>
  <c r="J31" i="41" l="1"/>
  <c r="K31" i="41" s="1"/>
  <c r="J30" i="41"/>
  <c r="J32" i="41" s="1"/>
  <c r="H30" i="41"/>
  <c r="I44" i="41"/>
  <c r="I32" i="41"/>
  <c r="H12" i="41"/>
  <c r="I12" i="41"/>
  <c r="K30" i="41"/>
  <c r="J44" i="41" l="1"/>
  <c r="J45" i="41" s="1"/>
  <c r="J12" i="41"/>
  <c r="I45" i="41"/>
  <c r="I60" i="41"/>
  <c r="Q30" i="41"/>
  <c r="K44" i="41"/>
  <c r="K32" i="41"/>
  <c r="K12" i="41"/>
  <c r="Q12" i="41" l="1"/>
  <c r="K75" i="41"/>
  <c r="K76" i="41" s="1"/>
  <c r="J60" i="41"/>
  <c r="J62" i="41" s="1"/>
  <c r="I62" i="41"/>
  <c r="I73" i="41"/>
  <c r="I61" i="41"/>
  <c r="K45" i="41"/>
  <c r="Q44" i="41"/>
  <c r="K60" i="41"/>
  <c r="K77" i="41" s="1"/>
  <c r="S57" i="41"/>
  <c r="J74" i="41" l="1"/>
  <c r="J61" i="41"/>
  <c r="J73" i="41"/>
  <c r="E9" i="40" s="1"/>
  <c r="Q60" i="41"/>
  <c r="K9" i="40"/>
  <c r="K61" i="41"/>
  <c r="K10" i="40" s="1"/>
  <c r="K73" i="41"/>
  <c r="Q73" i="41" s="1"/>
  <c r="K62" i="41"/>
  <c r="I74" i="41"/>
  <c r="E10" i="40" l="1"/>
  <c r="K74" i="41"/>
  <c r="Q74" i="4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Aude Petignier</author>
    <author>Utilisateur Windows</author>
  </authors>
  <commentList>
    <comment ref="H5" authorId="0" shapeId="0" xr:uid="{00000000-0006-0000-0100-000001000000}">
      <text>
        <r>
          <rPr>
            <sz val="9"/>
            <color indexed="81"/>
            <rFont val="Tahoma"/>
            <family val="2"/>
          </rPr>
          <t>Doit être de 402h</t>
        </r>
      </text>
    </comment>
    <comment ref="U7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7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2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49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0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1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2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4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5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6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<sst xmlns="http://schemas.openxmlformats.org/spreadsheetml/2006/main" count="514" uniqueCount="319">
  <si>
    <t xml:space="preserve">Nombre d'inscrits total
</t>
  </si>
  <si>
    <t>Nombre d'inscrits payants</t>
  </si>
  <si>
    <t>A. 1.1</t>
  </si>
  <si>
    <t>Enseignants titulaires</t>
  </si>
  <si>
    <t>A. 1.2</t>
  </si>
  <si>
    <t>Enseignants non titulaires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</si>
  <si>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</si>
  <si>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</si>
  <si>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</si>
  <si>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</si>
  <si>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</si>
  <si>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</si>
  <si>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</si>
  <si>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</si>
  <si>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</si>
  <si>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</si>
  <si>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</si>
  <si>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</si>
  <si>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</si>
  <si>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</si>
  <si>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</si>
  <si>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</si>
  <si>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</si>
  <si>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</t>
  </si>
  <si>
    <t>CM/TD</t>
  </si>
  <si>
    <t>Stage/entreprise</t>
  </si>
  <si>
    <t>Projet</t>
  </si>
  <si>
    <t>Autre</t>
  </si>
  <si>
    <t>Volume horaire par étudiant parcours en formation intiale</t>
  </si>
  <si>
    <t>Volume horaire par étudiant en formation continue</t>
  </si>
  <si>
    <t>Volume horaire par étudiant en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</si>
  <si>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</si>
  <si>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</si>
  <si>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</si>
  <si>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</si>
  <si>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</si>
  <si>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</si>
  <si>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</si>
  <si>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</si>
  <si>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</si>
  <si>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</si>
  <si>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</si>
  <si>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</si>
  <si>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</si>
  <si>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</si>
  <si>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</si>
  <si>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</si>
  <si>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</si>
  <si>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</si>
  <si>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</si>
  <si>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</si>
  <si>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>type parcours</t>
  </si>
  <si>
    <t xml:space="preserve">Nb d'heures étudiant proratisé </t>
  </si>
  <si>
    <t>Nb d'heures tous apprenants</t>
  </si>
  <si>
    <t>Semestre 1</t>
  </si>
  <si>
    <t>Semestre 2</t>
  </si>
  <si>
    <t>RECETTES ET SIMULATIONS</t>
  </si>
  <si>
    <t>Etablissement</t>
  </si>
  <si>
    <t>Université Lumière Lyon 2</t>
  </si>
  <si>
    <t>Type de formation</t>
  </si>
  <si>
    <t>RNCP / RS</t>
  </si>
  <si>
    <t>Nom de la formation</t>
  </si>
  <si>
    <t>Composante</t>
  </si>
  <si>
    <t>Cellules à saisir manuellement</t>
  </si>
  <si>
    <t>Année scolaire considérée</t>
  </si>
  <si>
    <t>Résultat sur la part relevant de la formation initiale</t>
  </si>
  <si>
    <t>Données financières pour la part autofinancée</t>
  </si>
  <si>
    <t>Résultat de la part autofinancée</t>
  </si>
  <si>
    <t>Résultat total de la formation (FI+autofinancé)</t>
  </si>
  <si>
    <t>Coût moyen par étudiant autofinancé</t>
  </si>
  <si>
    <t>DROITS D'INSCRIPTION</t>
  </si>
  <si>
    <t>Tarif</t>
  </si>
  <si>
    <t>Type de dispositif</t>
  </si>
  <si>
    <t>Tarif de la formation</t>
  </si>
  <si>
    <t>Droits nationaux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</si>
  <si>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</si>
  <si>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</si>
  <si>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</si>
  <si>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</si>
  <si>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</si>
  <si>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</si>
  <si>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</si>
  <si>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</si>
  <si>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</si>
  <si>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FORMATION SUR RESSOURCES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</si>
  <si>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</si>
  <si>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</si>
  <si>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</si>
  <si>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</si>
  <si>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</si>
  <si>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</si>
  <si>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</si>
  <si>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</si>
  <si>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</si>
  <si>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</si>
  <si>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</si>
  <si>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</si>
  <si>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</si>
  <si>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</si>
  <si>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</si>
  <si>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</si>
  <si>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</si>
  <si>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</si>
  <si>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</si>
  <si>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</si>
  <si>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</si>
  <si>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</si>
  <si>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</si>
  <si>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</si>
  <si>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</si>
  <si>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</si>
  <si>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</si>
  <si>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</si>
  <si>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</si>
  <si>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</si>
  <si>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</si>
  <si>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</si>
  <si>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</si>
  <si>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</si>
  <si>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</si>
  <si>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</si>
  <si>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</si>
  <si>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</si>
  <si>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</si>
  <si>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</si>
  <si>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</si>
  <si>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</si>
  <si>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</si>
  <si>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</si>
  <si>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</si>
  <si>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</si>
  <si>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</si>
  <si>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</si>
  <si>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</si>
  <si>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</si>
  <si>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</si>
  <si>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</si>
  <si>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</si>
  <si>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</si>
  <si>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</si>
  <si>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</si>
  <si>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</si>
  <si>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</si>
  <si>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</si>
  <si>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à la FI</t>
  </si>
  <si>
    <t>A.62.4</t>
  </si>
  <si>
    <t>Frais de deplacements/restauration liés à l'alternance et la FC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</si>
  <si>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</si>
  <si>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</si>
  <si>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</si>
  <si>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</si>
  <si>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</si>
  <si>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</si>
  <si>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</si>
  <si>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</si>
  <si>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</si>
  <si>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</si>
  <si>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</si>
  <si>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</si>
  <si>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</si>
  <si>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</si>
  <si>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</si>
  <si>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</si>
  <si>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</si>
  <si>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</si>
  <si>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</si>
  <si>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</si>
  <si>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</si>
  <si>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</si>
  <si>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</si>
  <si>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</si>
  <si>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</si>
  <si>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</si>
  <si>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</si>
  <si>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</si>
  <si>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</si>
  <si>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</si>
  <si>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</si>
  <si>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</si>
  <si>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</si>
  <si>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</si>
  <si>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</si>
  <si>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</si>
  <si>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</si>
  <si>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</si>
  <si>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</si>
  <si>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</si>
  <si>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</si>
  <si>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</si>
  <si>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</si>
  <si>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</si>
  <si>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SEUILS D'OUVERTURE DES DU</t>
  </si>
  <si>
    <t>Seuil minimal de dépenses à couvrir avec les recettes</t>
  </si>
  <si>
    <t>Seuil minimal de nombre d'inscriptions</t>
  </si>
  <si>
    <t>Seuil moyen de nombre d'inscriptions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</si>
  <si>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</si>
  <si>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</si>
  <si>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</si>
  <si>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</si>
  <si>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</si>
  <si>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</si>
  <si>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</si>
  <si>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CM</t>
  </si>
  <si>
    <t>ASSP - Anthropologie, Sociologie, Scienes Poliques</t>
  </si>
  <si>
    <t>FI</t>
  </si>
  <si>
    <t>Travaux dirigés</t>
  </si>
  <si>
    <t>TD</t>
  </si>
  <si>
    <t>CIEF - Centre International d'Etudes Françaises</t>
  </si>
  <si>
    <t>FC</t>
  </si>
  <si>
    <t>Travaux pratiques</t>
  </si>
  <si>
    <t>TP</t>
  </si>
  <si>
    <t>FJVD - Faculté de Droit Julie-Victoire Daubié</t>
  </si>
  <si>
    <t>ALT</t>
  </si>
  <si>
    <t>Professionnalisation / recherche</t>
  </si>
  <si>
    <t>Stage (suivi)</t>
  </si>
  <si>
    <t>STSUIV</t>
  </si>
  <si>
    <t>ICOM - Institut de Communication</t>
  </si>
  <si>
    <t>FI/FC</t>
  </si>
  <si>
    <t>Stage (TD)</t>
  </si>
  <si>
    <t>STTD</t>
  </si>
  <si>
    <t>IETL - Institut d'Etudes du Travail de Lyon</t>
  </si>
  <si>
    <t>FI/ALT</t>
  </si>
  <si>
    <t>Stage (CM)</t>
  </si>
  <si>
    <t>STCM</t>
  </si>
  <si>
    <t>ISPEF - Institut des Sciences et Pratiques d'Education de la Formation</t>
  </si>
  <si>
    <t>FC/ALT</t>
  </si>
  <si>
    <t>Alternance (suivi)</t>
  </si>
  <si>
    <t>ALTSUIV</t>
  </si>
  <si>
    <t>IUT - Institut Universitaire de Technologie Lumière</t>
  </si>
  <si>
    <t>FI/FC/ALT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</si>
  <si>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</si>
  <si>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</si>
  <si>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</si>
  <si>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</si>
  <si>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</si>
  <si>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</si>
  <si>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</si>
  <si>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</si>
  <si>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</si>
  <si>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</si>
  <si>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</si>
  <si>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</si>
  <si>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</si>
  <si>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</si>
  <si>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</si>
  <si>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</si>
  <si>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</si>
  <si>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</si>
  <si>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</si>
  <si>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</si>
  <si>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</si>
  <si>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</si>
  <si>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</si>
  <si>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</si>
  <si>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</si>
  <si>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</si>
  <si>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</si>
  <si>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</si>
  <si>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</si>
  <si>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</si>
  <si>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</si>
  <si>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</si>
  <si>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</si>
  <si>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</si>
  <si>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</si>
  <si>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ENS 51.1</t>
  </si>
  <si>
    <t>Relations collectives au travail</t>
  </si>
  <si>
    <t>ENS 51.2</t>
  </si>
  <si>
    <t>Droit fiscal général</t>
  </si>
  <si>
    <t>ENS 51.3</t>
  </si>
  <si>
    <t>Droit administrati des bien</t>
  </si>
  <si>
    <t>ENS 52.1</t>
  </si>
  <si>
    <t>Expression écrite et orale</t>
  </si>
  <si>
    <t>ENS 52.2</t>
  </si>
  <si>
    <t>Bureautique</t>
  </si>
  <si>
    <t>ENS 52.3</t>
  </si>
  <si>
    <t>Découverte du métier 2</t>
  </si>
  <si>
    <t>ENS 52.4</t>
  </si>
  <si>
    <t>Anglais juridique</t>
  </si>
  <si>
    <t>ENS 53.1</t>
  </si>
  <si>
    <t>Ateliers projet tutoré méthodologie</t>
  </si>
  <si>
    <t>ENS 53.2</t>
  </si>
  <si>
    <t>Projet tutoré - Mise en application (en autonomie)</t>
  </si>
  <si>
    <t>ENS 53.3</t>
  </si>
  <si>
    <t>Retours d'alternance</t>
  </si>
  <si>
    <t>ENS 53.4</t>
  </si>
  <si>
    <t>PPP _insertion professionnelle</t>
  </si>
  <si>
    <t>Obligatoire</t>
  </si>
  <si>
    <t>Non</t>
  </si>
  <si>
    <t>ENS 61.1</t>
  </si>
  <si>
    <t>Institutions internationales et européennes</t>
  </si>
  <si>
    <t>ENS 61.2</t>
  </si>
  <si>
    <t>Droit des contrats spéciaux</t>
  </si>
  <si>
    <t>ENS 61.3</t>
  </si>
  <si>
    <t>Droit des libertés fondamentales</t>
  </si>
  <si>
    <t>ENS 62.1</t>
  </si>
  <si>
    <t>Comptabilité approfondie</t>
  </si>
  <si>
    <t>ENS 62.2</t>
  </si>
  <si>
    <t xml:space="preserve">Droit spécial des sociétés </t>
  </si>
  <si>
    <t>ENS 62.3</t>
  </si>
  <si>
    <t>Rédaction d'actes juridiques</t>
  </si>
  <si>
    <t>Droit pénal spécial</t>
  </si>
  <si>
    <t>Procédures civile d'exécution</t>
  </si>
  <si>
    <t>Rédaction d'actes judiciaires et extrajudiciaires</t>
  </si>
  <si>
    <t>ENS 64.1</t>
  </si>
  <si>
    <t>ENS 64.2</t>
  </si>
  <si>
    <t>ENS 64.3</t>
  </si>
  <si>
    <t>ENS 64.4</t>
  </si>
  <si>
    <t>Licence Professionnelle</t>
  </si>
  <si>
    <t>ACTIVITE JURIDIQUES : ASSISTANT JURIDIQUE ANNEE 3</t>
  </si>
  <si>
    <t>Option</t>
  </si>
  <si>
    <t>Places prévues pour les étudiants qui s'inscrivent en dernière année de la LP en 3 ans</t>
  </si>
  <si>
    <t>LP AJ en 3 ans en contrat sur les 3 ans</t>
  </si>
  <si>
    <t>LP AJ en 2 ans avec recrutement à Bac+1 en contrat sur les 2 années</t>
  </si>
  <si>
    <t>mutualisé avec AES</t>
  </si>
  <si>
    <t>Mut+ext</t>
  </si>
  <si>
    <t>LP AJ en 3 ans avec FI en 1ère année et contrat en 2ème et 3ème années</t>
  </si>
  <si>
    <t>ENS 64.5</t>
  </si>
  <si>
    <t>Accompagnement mémoire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</si>
</sst>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_-* #,##0\ [$€]_-;\-* #,##0\ [$€]_-;_-* &quot;-&quot;??\ [$€]_-;_-@_-"/>
    <numFmt numFmtId="170" formatCode="_-* #,##0\ [$€-803]_-;\-* #,##0\ [$€-803]_-;_-* &quot;-&quot;??\ [$€-803]_-;_-@_-"/>
    <numFmt numFmtId="171" formatCode="#,##0.00_ ;\-#,##0.00\ "/>
    <numFmt numFmtId="172" formatCode="_-* #,##0\ &quot;€&quot;_-;\-* #,##0\ &quot;€&quot;_-;_-* &quot;-&quot;??\ &quot;€&quot;_-;_-@_-"/>
    <numFmt numFmtId="173" formatCode="#,##0.00\ &quot;€&quot;"/>
  </numFmts>
  <fonts count="28" x14ac:knownFonts="1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34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5" fillId="2" borderId="0" xfId="10" applyFont="1" applyFill="1" applyAlignment="1">
      <alignment wrapText="1"/>
    </xf>
    <xf numFmtId="0" fontId="16" fillId="3" borderId="22" xfId="10" applyFont="1" applyFill="1" applyBorder="1" applyAlignment="1">
      <alignment horizontal="center" vertical="center" wrapText="1"/>
    </xf>
    <xf numFmtId="1" fontId="14" fillId="2" borderId="9" xfId="10" applyNumberFormat="1" applyFont="1" applyFill="1" applyBorder="1" applyAlignment="1">
      <alignment horizontal="center" vertical="center" wrapText="1"/>
    </xf>
    <xf numFmtId="0" fontId="15" fillId="6" borderId="5" xfId="10" applyFont="1" applyFill="1" applyBorder="1" applyAlignment="1">
      <alignment horizontal="center" vertical="center"/>
    </xf>
    <xf numFmtId="0" fontId="15" fillId="4" borderId="31" xfId="10" applyFont="1" applyFill="1" applyBorder="1" applyAlignment="1">
      <alignment horizontal="center" vertical="center"/>
    </xf>
    <xf numFmtId="0" fontId="15" fillId="6" borderId="44" xfId="10" applyFont="1" applyFill="1" applyBorder="1" applyAlignment="1">
      <alignment horizontal="center" vertical="center"/>
    </xf>
    <xf numFmtId="0" fontId="15" fillId="7" borderId="9" xfId="10" applyFont="1" applyFill="1" applyBorder="1" applyAlignment="1">
      <alignment horizontal="center" vertical="center"/>
    </xf>
    <xf numFmtId="0" fontId="17" fillId="7" borderId="10" xfId="10" applyFont="1" applyFill="1" applyBorder="1" applyAlignment="1">
      <alignment vertical="center"/>
    </xf>
    <xf numFmtId="1" fontId="13" fillId="7" borderId="9" xfId="9" applyNumberFormat="1" applyFont="1" applyFill="1" applyBorder="1" applyAlignment="1" applyProtection="1">
      <alignment horizontal="center" vertical="center"/>
    </xf>
    <xf numFmtId="0" fontId="16" fillId="3" borderId="18" xfId="0" applyFont="1" applyFill="1" applyBorder="1" applyAlignment="1">
      <alignment vertical="center"/>
    </xf>
    <xf numFmtId="0" fontId="16" fillId="3" borderId="38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164" fontId="16" fillId="3" borderId="1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1" fontId="13" fillId="7" borderId="47" xfId="12" applyNumberFormat="1" applyFont="1" applyFill="1" applyBorder="1" applyAlignment="1" applyProtection="1">
      <alignment horizontal="center" vertical="center"/>
    </xf>
    <xf numFmtId="164" fontId="13" fillId="4" borderId="43" xfId="12" applyNumberFormat="1" applyFont="1" applyFill="1" applyBorder="1" applyAlignment="1" applyProtection="1">
      <alignment horizontal="center" vertical="center"/>
    </xf>
    <xf numFmtId="0" fontId="18" fillId="6" borderId="37" xfId="10" applyFont="1" applyFill="1" applyBorder="1" applyAlignment="1">
      <alignment horizontal="center" vertical="center"/>
    </xf>
    <xf numFmtId="0" fontId="17" fillId="2" borderId="4" xfId="10" applyFont="1" applyFill="1" applyBorder="1" applyAlignment="1" applyProtection="1">
      <alignment vertical="center"/>
      <protection locked="0"/>
    </xf>
    <xf numFmtId="1" fontId="13" fillId="0" borderId="4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center" vertical="center"/>
      <protection locked="0"/>
    </xf>
    <xf numFmtId="0" fontId="17" fillId="2" borderId="21" xfId="10" applyFont="1" applyFill="1" applyBorder="1" applyAlignment="1" applyProtection="1">
      <alignment vertical="center"/>
      <protection locked="0"/>
    </xf>
    <xf numFmtId="0" fontId="15" fillId="0" borderId="21" xfId="10" applyFont="1" applyBorder="1" applyAlignment="1" applyProtection="1">
      <alignment horizontal="center" vertical="center"/>
      <protection locked="0"/>
    </xf>
    <xf numFmtId="0" fontId="13" fillId="0" borderId="7" xfId="9" applyNumberFormat="1" applyFont="1" applyBorder="1" applyAlignment="1" applyProtection="1">
      <alignment horizontal="center" vertical="center"/>
      <protection locked="0"/>
    </xf>
    <xf numFmtId="0" fontId="16" fillId="3" borderId="18" xfId="0" applyFont="1" applyFill="1" applyBorder="1" applyAlignment="1">
      <alignment horizontal="left" vertical="center"/>
    </xf>
    <xf numFmtId="0" fontId="15" fillId="0" borderId="40" xfId="10" applyFont="1" applyBorder="1" applyAlignment="1" applyProtection="1">
      <alignment horizontal="center" vertical="center"/>
      <protection locked="0"/>
    </xf>
    <xf numFmtId="0" fontId="15" fillId="0" borderId="44" xfId="10" applyFont="1" applyBorder="1" applyAlignment="1" applyProtection="1">
      <alignment horizontal="center" vertical="center"/>
      <protection locked="0"/>
    </xf>
    <xf numFmtId="0" fontId="15" fillId="0" borderId="2" xfId="10" applyFont="1" applyBorder="1" applyAlignment="1" applyProtection="1">
      <alignment horizontal="center" vertical="center"/>
      <protection locked="0"/>
    </xf>
    <xf numFmtId="0" fontId="15" fillId="0" borderId="46" xfId="10" applyFont="1" applyBorder="1" applyAlignment="1" applyProtection="1">
      <alignment horizontal="center" vertical="center"/>
      <protection locked="0"/>
    </xf>
    <xf numFmtId="0" fontId="18" fillId="0" borderId="21" xfId="10" applyFont="1" applyBorder="1" applyAlignment="1" applyProtection="1">
      <alignment horizontal="center" vertical="center"/>
      <protection locked="0"/>
    </xf>
    <xf numFmtId="0" fontId="15" fillId="7" borderId="16" xfId="10" applyFont="1" applyFill="1" applyBorder="1" applyAlignment="1">
      <alignment horizontal="center" vertical="center"/>
    </xf>
    <xf numFmtId="0" fontId="11" fillId="3" borderId="29" xfId="1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/>
    </xf>
    <xf numFmtId="0" fontId="15" fillId="0" borderId="3" xfId="10" applyFont="1" applyBorder="1" applyAlignment="1" applyProtection="1">
      <alignment horizontal="center" vertical="center"/>
      <protection locked="0"/>
    </xf>
    <xf numFmtId="164" fontId="15" fillId="7" borderId="10" xfId="10" applyNumberFormat="1" applyFont="1" applyFill="1" applyBorder="1" applyAlignment="1">
      <alignment horizontal="center" vertical="center"/>
    </xf>
    <xf numFmtId="164" fontId="18" fillId="7" borderId="9" xfId="10" applyNumberFormat="1" applyFont="1" applyFill="1" applyBorder="1" applyAlignment="1">
      <alignment horizontal="center" vertical="center"/>
    </xf>
    <xf numFmtId="164" fontId="16" fillId="3" borderId="12" xfId="0" applyNumberFormat="1" applyFont="1" applyFill="1" applyBorder="1" applyAlignment="1">
      <alignment horizontal="center" vertical="center"/>
    </xf>
    <xf numFmtId="0" fontId="17" fillId="2" borderId="14" xfId="10" applyFont="1" applyFill="1" applyBorder="1" applyAlignment="1" applyProtection="1">
      <alignment vertical="center"/>
      <protection locked="0"/>
    </xf>
    <xf numFmtId="0" fontId="13" fillId="7" borderId="8" xfId="9" applyNumberFormat="1" applyFont="1" applyFill="1" applyBorder="1" applyAlignment="1" applyProtection="1">
      <alignment horizontal="center" vertical="center"/>
    </xf>
    <xf numFmtId="0" fontId="15" fillId="2" borderId="7" xfId="10" applyFont="1" applyFill="1" applyBorder="1" applyAlignment="1" applyProtection="1">
      <alignment horizontal="center" vertical="center" wrapText="1"/>
      <protection locked="0"/>
    </xf>
    <xf numFmtId="0" fontId="15" fillId="2" borderId="13" xfId="10" applyFont="1" applyFill="1" applyBorder="1" applyAlignment="1" applyProtection="1">
      <alignment horizontal="center" vertical="center" wrapText="1"/>
      <protection locked="0"/>
    </xf>
    <xf numFmtId="0" fontId="15" fillId="7" borderId="8" xfId="10" applyFont="1" applyFill="1" applyBorder="1" applyAlignment="1">
      <alignment horizontal="center" vertical="center" wrapText="1"/>
    </xf>
    <xf numFmtId="0" fontId="15" fillId="0" borderId="30" xfId="10" applyFont="1" applyBorder="1" applyAlignment="1" applyProtection="1">
      <alignment horizontal="center" vertical="center"/>
      <protection locked="0"/>
    </xf>
    <xf numFmtId="0" fontId="18" fillId="6" borderId="60" xfId="10" applyFont="1" applyFill="1" applyBorder="1" applyAlignment="1">
      <alignment horizontal="center" vertical="center"/>
    </xf>
    <xf numFmtId="164" fontId="13" fillId="4" borderId="61" xfId="12" applyNumberFormat="1" applyFont="1" applyFill="1" applyBorder="1" applyAlignment="1" applyProtection="1">
      <alignment horizontal="center" vertical="center"/>
    </xf>
    <xf numFmtId="0" fontId="15" fillId="4" borderId="60" xfId="10" applyFont="1" applyFill="1" applyBorder="1" applyAlignment="1">
      <alignment horizontal="center" vertical="center"/>
    </xf>
    <xf numFmtId="0" fontId="13" fillId="7" borderId="23" xfId="9" applyNumberFormat="1" applyFont="1" applyFill="1" applyBorder="1" applyAlignment="1" applyProtection="1">
      <alignment horizontal="center" vertical="center"/>
    </xf>
    <xf numFmtId="0" fontId="13" fillId="7" borderId="39" xfId="9" applyNumberFormat="1" applyFont="1" applyFill="1" applyBorder="1" applyAlignment="1" applyProtection="1">
      <alignment horizontal="left" vertical="center"/>
    </xf>
    <xf numFmtId="0" fontId="15" fillId="7" borderId="23" xfId="10" applyFont="1" applyFill="1" applyBorder="1" applyAlignment="1">
      <alignment horizontal="left" vertical="center"/>
    </xf>
    <xf numFmtId="164" fontId="13" fillId="7" borderId="62" xfId="12" applyNumberFormat="1" applyFont="1" applyFill="1" applyBorder="1" applyAlignment="1" applyProtection="1">
      <alignment horizontal="center" vertical="center"/>
    </xf>
    <xf numFmtId="0" fontId="17" fillId="7" borderId="16" xfId="10" applyFont="1" applyFill="1" applyBorder="1" applyAlignment="1">
      <alignment vertical="center"/>
    </xf>
    <xf numFmtId="0" fontId="18" fillId="7" borderId="50" xfId="10" applyFont="1" applyFill="1" applyBorder="1" applyAlignment="1">
      <alignment horizontal="center" vertical="center"/>
    </xf>
    <xf numFmtId="1" fontId="16" fillId="3" borderId="12" xfId="0" applyNumberFormat="1" applyFont="1" applyFill="1" applyBorder="1" applyAlignment="1">
      <alignment horizontal="center" vertical="center"/>
    </xf>
    <xf numFmtId="0" fontId="16" fillId="3" borderId="59" xfId="1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6" fontId="8" fillId="2" borderId="0" xfId="14" applyNumberFormat="1" applyFont="1" applyFill="1" applyAlignment="1" applyProtection="1">
      <alignment vertical="center"/>
    </xf>
    <xf numFmtId="166" fontId="8" fillId="2" borderId="0" xfId="14" applyNumberFormat="1" applyFont="1" applyFill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8" fillId="8" borderId="4" xfId="15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>
      <alignment vertical="center"/>
    </xf>
    <xf numFmtId="168" fontId="9" fillId="2" borderId="4" xfId="0" applyNumberFormat="1" applyFont="1" applyFill="1" applyBorder="1" applyAlignment="1">
      <alignment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8" fillId="2" borderId="16" xfId="0" applyFont="1" applyFill="1" applyBorder="1" applyAlignment="1">
      <alignment horizontal="center" vertical="center"/>
    </xf>
    <xf numFmtId="168" fontId="8" fillId="8" borderId="4" xfId="0" applyNumberFormat="1" applyFont="1" applyFill="1" applyBorder="1" applyAlignment="1" applyProtection="1">
      <alignment vertical="center"/>
      <protection locked="0"/>
    </xf>
    <xf numFmtId="168" fontId="8" fillId="2" borderId="4" xfId="0" applyNumberFormat="1" applyFont="1" applyFill="1" applyBorder="1" applyAlignment="1">
      <alignment vertical="center"/>
    </xf>
    <xf numFmtId="168" fontId="8" fillId="10" borderId="3" xfId="0" applyNumberFormat="1" applyFont="1" applyFill="1" applyBorder="1" applyAlignment="1">
      <alignment vertical="center"/>
    </xf>
    <xf numFmtId="168" fontId="8" fillId="10" borderId="10" xfId="0" applyNumberFormat="1" applyFont="1" applyFill="1" applyBorder="1" applyAlignment="1">
      <alignment vertical="center"/>
    </xf>
    <xf numFmtId="168" fontId="8" fillId="10" borderId="4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0" fontId="8" fillId="8" borderId="4" xfId="0" applyFont="1" applyFill="1" applyBorder="1" applyAlignment="1" applyProtection="1">
      <alignment vertical="center"/>
      <protection locked="0"/>
    </xf>
    <xf numFmtId="9" fontId="8" fillId="8" borderId="4" xfId="12" applyFont="1" applyFill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>
      <alignment vertical="center"/>
    </xf>
    <xf numFmtId="0" fontId="8" fillId="8" borderId="21" xfId="0" applyFont="1" applyFill="1" applyBorder="1" applyAlignment="1" applyProtection="1">
      <alignment vertical="center"/>
      <protection locked="0"/>
    </xf>
    <xf numFmtId="168" fontId="8" fillId="8" borderId="21" xfId="0" applyNumberFormat="1" applyFont="1" applyFill="1" applyBorder="1" applyAlignment="1" applyProtection="1">
      <alignment vertical="center"/>
      <protection locked="0"/>
    </xf>
    <xf numFmtId="0" fontId="9" fillId="2" borderId="3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vertical="center"/>
    </xf>
    <xf numFmtId="168" fontId="9" fillId="2" borderId="36" xfId="0" applyNumberFormat="1" applyFont="1" applyFill="1" applyBorder="1" applyAlignment="1">
      <alignment vertical="center"/>
    </xf>
    <xf numFmtId="168" fontId="9" fillId="2" borderId="9" xfId="0" applyNumberFormat="1" applyFont="1" applyFill="1" applyBorder="1" applyAlignment="1">
      <alignment vertical="center"/>
    </xf>
    <xf numFmtId="168" fontId="9" fillId="2" borderId="0" xfId="0" applyNumberFormat="1" applyFont="1" applyFill="1" applyAlignment="1">
      <alignment vertical="center"/>
    </xf>
    <xf numFmtId="0" fontId="10" fillId="3" borderId="30" xfId="0" applyFont="1" applyFill="1" applyBorder="1" applyAlignment="1">
      <alignment horizontal="center" vertical="center" wrapText="1"/>
    </xf>
    <xf numFmtId="168" fontId="9" fillId="0" borderId="9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6" fontId="8" fillId="0" borderId="0" xfId="14" applyNumberFormat="1" applyFont="1" applyAlignment="1" applyProtection="1">
      <alignment vertical="center"/>
    </xf>
    <xf numFmtId="166" fontId="8" fillId="0" borderId="0" xfId="14" applyNumberFormat="1" applyFont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15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8" fillId="2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169" fontId="8" fillId="2" borderId="0" xfId="0" applyNumberFormat="1" applyFont="1" applyFill="1" applyAlignment="1">
      <alignment horizontal="center" vertical="center"/>
    </xf>
    <xf numFmtId="0" fontId="10" fillId="3" borderId="19" xfId="0" applyFont="1" applyFill="1" applyBorder="1" applyAlignment="1">
      <alignment vertical="center"/>
    </xf>
    <xf numFmtId="0" fontId="10" fillId="3" borderId="18" xfId="0" applyFont="1" applyFill="1" applyBorder="1" applyAlignment="1">
      <alignment vertical="center"/>
    </xf>
    <xf numFmtId="0" fontId="10" fillId="3" borderId="34" xfId="0" applyFont="1" applyFill="1" applyBorder="1" applyAlignment="1">
      <alignment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 wrapText="1"/>
    </xf>
    <xf numFmtId="166" fontId="9" fillId="2" borderId="30" xfId="14" applyNumberFormat="1" applyFont="1" applyFill="1" applyBorder="1" applyAlignment="1" applyProtection="1">
      <alignment horizontal="center" vertical="center" wrapText="1"/>
    </xf>
    <xf numFmtId="166" fontId="9" fillId="2" borderId="12" xfId="14" applyNumberFormat="1" applyFont="1" applyFill="1" applyBorder="1" applyAlignment="1" applyProtection="1">
      <alignment horizontal="center" vertical="center" wrapText="1"/>
    </xf>
    <xf numFmtId="166" fontId="9" fillId="2" borderId="34" xfId="14" applyNumberFormat="1" applyFont="1" applyFill="1" applyBorder="1" applyAlignment="1" applyProtection="1">
      <alignment horizontal="center" vertical="center" wrapText="1"/>
    </xf>
    <xf numFmtId="166" fontId="9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9" fillId="2" borderId="32" xfId="14" applyNumberFormat="1" applyFont="1" applyFill="1" applyBorder="1" applyAlignment="1" applyProtection="1">
      <alignment horizontal="center" vertical="center" wrapText="1"/>
    </xf>
    <xf numFmtId="166" fontId="9" fillId="2" borderId="24" xfId="14" applyNumberFormat="1" applyFont="1" applyFill="1" applyBorder="1" applyAlignment="1" applyProtection="1">
      <alignment horizontal="center" vertical="center" wrapText="1"/>
    </xf>
    <xf numFmtId="166" fontId="9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9" fillId="5" borderId="19" xfId="0" applyFont="1" applyFill="1" applyBorder="1" applyAlignment="1">
      <alignment vertical="center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170" fontId="9" fillId="5" borderId="12" xfId="0" applyNumberFormat="1" applyFont="1" applyFill="1" applyBorder="1" applyAlignment="1">
      <alignment vertical="center"/>
    </xf>
    <xf numFmtId="170" fontId="9" fillId="5" borderId="18" xfId="0" applyNumberFormat="1" applyFont="1" applyFill="1" applyBorder="1" applyAlignment="1">
      <alignment vertical="center"/>
    </xf>
    <xf numFmtId="170" fontId="9" fillId="5" borderId="17" xfId="0" applyNumberFormat="1" applyFont="1" applyFill="1" applyBorder="1" applyAlignment="1">
      <alignment vertical="center"/>
    </xf>
    <xf numFmtId="170" fontId="9" fillId="5" borderId="32" xfId="0" applyNumberFormat="1" applyFont="1" applyFill="1" applyBorder="1" applyAlignment="1">
      <alignment vertical="center"/>
    </xf>
    <xf numFmtId="170" fontId="9" fillId="5" borderId="11" xfId="0" applyNumberFormat="1" applyFont="1" applyFill="1" applyBorder="1" applyAlignment="1">
      <alignment vertical="center"/>
    </xf>
    <xf numFmtId="9" fontId="9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1" fontId="9" fillId="2" borderId="49" xfId="15" applyNumberFormat="1" applyFont="1" applyFill="1" applyBorder="1" applyAlignment="1" applyProtection="1">
      <alignment horizontal="left" vertical="center"/>
    </xf>
    <xf numFmtId="0" fontId="9" fillId="0" borderId="66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171" fontId="9" fillId="0" borderId="54" xfId="0" applyNumberFormat="1" applyFont="1" applyBorder="1" applyAlignment="1">
      <alignment horizontal="center" vertical="center" wrapText="1"/>
    </xf>
    <xf numFmtId="172" fontId="9" fillId="0" borderId="54" xfId="16" applyNumberFormat="1" applyFont="1" applyFill="1" applyBorder="1" applyAlignment="1" applyProtection="1">
      <alignment vertical="center" wrapText="1"/>
    </xf>
    <xf numFmtId="172" fontId="9" fillId="0" borderId="60" xfId="16" applyNumberFormat="1" applyFont="1" applyFill="1" applyBorder="1" applyAlignment="1" applyProtection="1">
      <alignment vertical="center" wrapText="1"/>
    </xf>
    <xf numFmtId="172" fontId="9" fillId="0" borderId="53" xfId="16" applyNumberFormat="1" applyFont="1" applyFill="1" applyBorder="1" applyAlignment="1" applyProtection="1">
      <alignment vertical="center" wrapText="1"/>
    </xf>
    <xf numFmtId="169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2" borderId="5" xfId="15" applyNumberFormat="1" applyFont="1" applyFill="1" applyBorder="1" applyAlignment="1" applyProtection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169" fontId="8" fillId="0" borderId="5" xfId="0" applyNumberFormat="1" applyFont="1" applyBorder="1" applyAlignment="1">
      <alignment horizontal="center" vertical="center"/>
    </xf>
    <xf numFmtId="169" fontId="8" fillId="0" borderId="37" xfId="0" applyNumberFormat="1" applyFont="1" applyBorder="1" applyAlignment="1">
      <alignment horizontal="center" vertical="center"/>
    </xf>
    <xf numFmtId="169" fontId="8" fillId="8" borderId="4" xfId="15" applyNumberFormat="1" applyFont="1" applyFill="1" applyBorder="1" applyAlignment="1" applyProtection="1">
      <alignment horizontal="center" vertical="center"/>
      <protection locked="0"/>
    </xf>
    <xf numFmtId="169" fontId="8" fillId="0" borderId="35" xfId="0" applyNumberFormat="1" applyFont="1" applyBorder="1" applyAlignment="1">
      <alignment horizontal="center" vertical="center"/>
    </xf>
    <xf numFmtId="1" fontId="19" fillId="2" borderId="0" xfId="0" applyNumberFormat="1" applyFont="1" applyFill="1" applyAlignment="1">
      <alignment vertical="center"/>
    </xf>
    <xf numFmtId="1" fontId="19" fillId="0" borderId="0" xfId="0" applyNumberFormat="1" applyFont="1" applyAlignment="1">
      <alignment vertical="center"/>
    </xf>
    <xf numFmtId="169" fontId="8" fillId="0" borderId="4" xfId="0" applyNumberFormat="1" applyFont="1" applyBorder="1" applyAlignment="1">
      <alignment horizontal="center" vertical="center"/>
    </xf>
    <xf numFmtId="169" fontId="8" fillId="0" borderId="33" xfId="0" applyNumberFormat="1" applyFont="1" applyBorder="1" applyAlignment="1">
      <alignment horizontal="center" vertical="center"/>
    </xf>
    <xf numFmtId="44" fontId="8" fillId="8" borderId="4" xfId="15" applyNumberFormat="1" applyFont="1" applyFill="1" applyBorder="1" applyAlignment="1" applyProtection="1">
      <alignment horizontal="right" vertical="center"/>
      <protection locked="0"/>
    </xf>
    <xf numFmtId="172" fontId="8" fillId="8" borderId="4" xfId="15" applyNumberFormat="1" applyFont="1" applyFill="1" applyBorder="1" applyAlignment="1" applyProtection="1">
      <alignment horizontal="center" vertical="center"/>
      <protection locked="0"/>
    </xf>
    <xf numFmtId="0" fontId="9" fillId="7" borderId="9" xfId="0" applyFont="1" applyFill="1" applyBorder="1" applyAlignment="1">
      <alignment horizontal="center" vertical="center"/>
    </xf>
    <xf numFmtId="172" fontId="9" fillId="7" borderId="9" xfId="0" applyNumberFormat="1" applyFont="1" applyFill="1" applyBorder="1" applyAlignment="1">
      <alignment vertical="center"/>
    </xf>
    <xf numFmtId="169" fontId="9" fillId="7" borderId="41" xfId="0" applyNumberFormat="1" applyFont="1" applyFill="1" applyBorder="1" applyAlignment="1">
      <alignment horizontal="center" vertical="center"/>
    </xf>
    <xf numFmtId="169" fontId="9" fillId="7" borderId="36" xfId="0" applyNumberFormat="1" applyFont="1" applyFill="1" applyBorder="1" applyAlignment="1">
      <alignment horizontal="center" vertical="center"/>
    </xf>
    <xf numFmtId="169" fontId="9" fillId="7" borderId="39" xfId="0" applyNumberFormat="1" applyFont="1" applyFill="1" applyBorder="1" applyAlignment="1">
      <alignment horizontal="center" vertical="center"/>
    </xf>
    <xf numFmtId="169" fontId="9" fillId="7" borderId="20" xfId="0" applyNumberFormat="1" applyFont="1" applyFill="1" applyBorder="1" applyAlignment="1">
      <alignment horizontal="center" vertical="center"/>
    </xf>
    <xf numFmtId="169" fontId="9" fillId="2" borderId="0" xfId="0" applyNumberFormat="1" applyFont="1" applyFill="1" applyAlignment="1">
      <alignment horizontal="center" vertical="center" wrapText="1"/>
    </xf>
    <xf numFmtId="169" fontId="9" fillId="7" borderId="8" xfId="0" applyNumberFormat="1" applyFont="1" applyFill="1" applyBorder="1" applyAlignment="1">
      <alignment horizontal="center" vertical="center"/>
    </xf>
    <xf numFmtId="169" fontId="9" fillId="7" borderId="23" xfId="0" applyNumberFormat="1" applyFont="1" applyFill="1" applyBorder="1" applyAlignment="1">
      <alignment horizontal="center" vertical="center"/>
    </xf>
    <xf numFmtId="169" fontId="9" fillId="7" borderId="9" xfId="0" applyNumberFormat="1" applyFont="1" applyFill="1" applyBorder="1" applyAlignment="1">
      <alignment horizontal="center" vertical="center"/>
    </xf>
    <xf numFmtId="172" fontId="9" fillId="0" borderId="25" xfId="16" applyNumberFormat="1" applyFont="1" applyFill="1" applyBorder="1" applyAlignment="1" applyProtection="1">
      <alignment vertical="center" wrapText="1"/>
    </xf>
    <xf numFmtId="172" fontId="9" fillId="0" borderId="15" xfId="16" applyNumberFormat="1" applyFont="1" applyFill="1" applyBorder="1" applyAlignment="1" applyProtection="1">
      <alignment vertical="center" wrapText="1"/>
    </xf>
    <xf numFmtId="172" fontId="9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2" fontId="8" fillId="0" borderId="4" xfId="0" applyNumberFormat="1" applyFont="1" applyBorder="1" applyAlignment="1">
      <alignment vertical="center"/>
    </xf>
    <xf numFmtId="169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8" fillId="8" borderId="21" xfId="15" applyNumberFormat="1" applyFont="1" applyFill="1" applyBorder="1" applyAlignment="1" applyProtection="1">
      <alignment horizontal="center" vertical="center"/>
      <protection locked="0"/>
    </xf>
    <xf numFmtId="172" fontId="8" fillId="0" borderId="21" xfId="0" applyNumberFormat="1" applyFont="1" applyBorder="1" applyAlignment="1">
      <alignment vertical="center"/>
    </xf>
    <xf numFmtId="0" fontId="8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2" borderId="53" xfId="0" applyFont="1" applyFill="1" applyBorder="1" applyAlignment="1">
      <alignment vertical="center"/>
    </xf>
    <xf numFmtId="0" fontId="8" fillId="2" borderId="54" xfId="0" applyFont="1" applyFill="1" applyBorder="1" applyAlignment="1">
      <alignment horizontal="right" vertical="center" wrapText="1"/>
    </xf>
    <xf numFmtId="0" fontId="23" fillId="0" borderId="54" xfId="0" applyFont="1" applyBorder="1" applyAlignment="1">
      <alignment vertical="center"/>
    </xf>
    <xf numFmtId="0" fontId="9" fillId="2" borderId="54" xfId="0" applyFont="1" applyFill="1" applyBorder="1" applyAlignment="1">
      <alignment vertical="center" wrapText="1"/>
    </xf>
    <xf numFmtId="0" fontId="9" fillId="2" borderId="40" xfId="0" applyFont="1" applyFill="1" applyBorder="1" applyAlignment="1">
      <alignment horizontal="right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52" xfId="0" applyNumberFormat="1" applyFont="1" applyBorder="1" applyAlignment="1">
      <alignment horizontal="center" vertical="center"/>
    </xf>
    <xf numFmtId="169" fontId="9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8" fillId="2" borderId="51" xfId="0" applyFont="1" applyFill="1" applyBorder="1" applyAlignment="1">
      <alignment vertical="center"/>
    </xf>
    <xf numFmtId="0" fontId="8" fillId="2" borderId="23" xfId="0" applyFont="1" applyFill="1" applyBorder="1" applyAlignment="1">
      <alignment horizontal="right" vertical="center" wrapText="1"/>
    </xf>
    <xf numFmtId="0" fontId="23" fillId="0" borderId="23" xfId="0" applyFont="1" applyBorder="1" applyAlignment="1">
      <alignment vertical="center"/>
    </xf>
    <xf numFmtId="0" fontId="9" fillId="2" borderId="23" xfId="0" applyFont="1" applyFill="1" applyBorder="1" applyAlignment="1">
      <alignment vertical="center" wrapText="1"/>
    </xf>
    <xf numFmtId="0" fontId="9" fillId="2" borderId="41" xfId="0" applyFont="1" applyFill="1" applyBorder="1" applyAlignment="1">
      <alignment horizontal="right" vertical="center"/>
    </xf>
    <xf numFmtId="169" fontId="9" fillId="2" borderId="23" xfId="0" applyNumberFormat="1" applyFont="1" applyFill="1" applyBorder="1" applyAlignment="1">
      <alignment horizontal="center" vertical="center"/>
    </xf>
    <xf numFmtId="169" fontId="9" fillId="2" borderId="36" xfId="0" applyNumberFormat="1" applyFont="1" applyFill="1" applyBorder="1" applyAlignment="1">
      <alignment horizontal="center" vertical="center"/>
    </xf>
    <xf numFmtId="169" fontId="9" fillId="2" borderId="55" xfId="0" applyNumberFormat="1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vertical="center"/>
    </xf>
    <xf numFmtId="0" fontId="9" fillId="5" borderId="67" xfId="0" applyFont="1" applyFill="1" applyBorder="1" applyAlignment="1">
      <alignment vertical="center"/>
    </xf>
    <xf numFmtId="0" fontId="9" fillId="5" borderId="23" xfId="0" applyFont="1" applyFill="1" applyBorder="1" applyAlignment="1">
      <alignment vertical="center"/>
    </xf>
    <xf numFmtId="0" fontId="9" fillId="5" borderId="41" xfId="0" applyFont="1" applyFill="1" applyBorder="1" applyAlignment="1">
      <alignment vertical="center"/>
    </xf>
    <xf numFmtId="170" fontId="9" fillId="5" borderId="23" xfId="0" applyNumberFormat="1" applyFont="1" applyFill="1" applyBorder="1" applyAlignment="1">
      <alignment vertical="center"/>
    </xf>
    <xf numFmtId="170" fontId="9" fillId="5" borderId="67" xfId="0" applyNumberFormat="1" applyFont="1" applyFill="1" applyBorder="1" applyAlignment="1">
      <alignment vertical="center"/>
    </xf>
    <xf numFmtId="170" fontId="9" fillId="5" borderId="55" xfId="0" applyNumberFormat="1" applyFont="1" applyFill="1" applyBorder="1" applyAlignment="1">
      <alignment vertical="center"/>
    </xf>
    <xf numFmtId="170" fontId="9" fillId="5" borderId="34" xfId="0" applyNumberFormat="1" applyFont="1" applyFill="1" applyBorder="1" applyAlignment="1">
      <alignment vertical="center"/>
    </xf>
    <xf numFmtId="0" fontId="8" fillId="2" borderId="49" xfId="0" applyFont="1" applyFill="1" applyBorder="1" applyAlignment="1">
      <alignment vertical="center"/>
    </xf>
    <xf numFmtId="49" fontId="8" fillId="0" borderId="59" xfId="0" applyNumberFormat="1" applyFont="1" applyBorder="1" applyAlignment="1">
      <alignment vertical="center"/>
    </xf>
    <xf numFmtId="49" fontId="8" fillId="0" borderId="54" xfId="0" applyNumberFormat="1" applyFont="1" applyBorder="1" applyAlignment="1">
      <alignment vertical="center"/>
    </xf>
    <xf numFmtId="169" fontId="8" fillId="8" borderId="22" xfId="0" applyNumberFormat="1" applyFont="1" applyFill="1" applyBorder="1" applyAlignment="1" applyProtection="1">
      <alignment vertical="center"/>
      <protection locked="0"/>
    </xf>
    <xf numFmtId="169" fontId="8" fillId="2" borderId="22" xfId="0" applyNumberFormat="1" applyFont="1" applyFill="1" applyBorder="1" applyAlignment="1">
      <alignment horizontal="center" vertical="center"/>
    </xf>
    <xf numFmtId="169" fontId="8" fillId="2" borderId="60" xfId="0" applyNumberFormat="1" applyFont="1" applyFill="1" applyBorder="1" applyAlignment="1">
      <alignment horizontal="center" vertical="center"/>
    </xf>
    <xf numFmtId="169" fontId="8" fillId="8" borderId="49" xfId="15" applyNumberFormat="1" applyFont="1" applyFill="1" applyBorder="1" applyAlignment="1" applyProtection="1">
      <alignment horizontal="center" vertical="center"/>
      <protection locked="0"/>
    </xf>
    <xf numFmtId="169" fontId="8" fillId="8" borderId="22" xfId="15" applyNumberFormat="1" applyFont="1" applyFill="1" applyBorder="1" applyAlignment="1" applyProtection="1">
      <alignment horizontal="center" vertical="center"/>
      <protection locked="0"/>
    </xf>
    <xf numFmtId="169" fontId="8" fillId="8" borderId="40" xfId="15" applyNumberFormat="1" applyFont="1" applyFill="1" applyBorder="1" applyAlignment="1" applyProtection="1">
      <alignment horizontal="center" vertical="center"/>
      <protection locked="0"/>
    </xf>
    <xf numFmtId="169" fontId="8" fillId="0" borderId="52" xfId="0" applyNumberFormat="1" applyFont="1" applyBorder="1" applyAlignment="1">
      <alignment horizontal="center" vertical="center"/>
    </xf>
    <xf numFmtId="169" fontId="8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8" fillId="0" borderId="3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169" fontId="8" fillId="8" borderId="4" xfId="0" applyNumberFormat="1" applyFont="1" applyFill="1" applyBorder="1" applyAlignment="1" applyProtection="1">
      <alignment vertical="center"/>
      <protection locked="0"/>
    </xf>
    <xf numFmtId="169" fontId="8" fillId="2" borderId="37" xfId="0" applyNumberFormat="1" applyFont="1" applyFill="1" applyBorder="1" applyAlignment="1">
      <alignment horizontal="center" vertical="center"/>
    </xf>
    <xf numFmtId="169" fontId="8" fillId="8" borderId="2" xfId="15" applyNumberFormat="1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vertical="center"/>
    </xf>
    <xf numFmtId="0" fontId="8" fillId="0" borderId="65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69" fontId="8" fillId="8" borderId="9" xfId="0" applyNumberFormat="1" applyFont="1" applyFill="1" applyBorder="1" applyAlignment="1" applyProtection="1">
      <alignment vertical="center"/>
      <protection locked="0"/>
    </xf>
    <xf numFmtId="169" fontId="8" fillId="2" borderId="36" xfId="0" applyNumberFormat="1" applyFont="1" applyFill="1" applyBorder="1" applyAlignment="1">
      <alignment horizontal="center" vertical="center"/>
    </xf>
    <xf numFmtId="169" fontId="8" fillId="2" borderId="39" xfId="0" applyNumberFormat="1" applyFont="1" applyFill="1" applyBorder="1" applyAlignment="1">
      <alignment horizontal="center" vertical="center"/>
    </xf>
    <xf numFmtId="169" fontId="8" fillId="8" borderId="8" xfId="15" applyNumberFormat="1" applyFont="1" applyFill="1" applyBorder="1" applyAlignment="1" applyProtection="1">
      <alignment horizontal="center" vertical="center"/>
      <protection locked="0"/>
    </xf>
    <xf numFmtId="169" fontId="8" fillId="8" borderId="9" xfId="15" applyNumberFormat="1" applyFont="1" applyFill="1" applyBorder="1" applyAlignment="1" applyProtection="1">
      <alignment horizontal="center" vertical="center"/>
      <protection locked="0"/>
    </xf>
    <xf numFmtId="169" fontId="8" fillId="8" borderId="16" xfId="15" applyNumberFormat="1" applyFont="1" applyFill="1" applyBorder="1" applyAlignment="1" applyProtection="1">
      <alignment horizontal="center" vertical="center"/>
      <protection locked="0"/>
    </xf>
    <xf numFmtId="169" fontId="8" fillId="0" borderId="50" xfId="0" applyNumberFormat="1" applyFont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0" fontId="8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169" fontId="9" fillId="2" borderId="12" xfId="0" applyNumberFormat="1" applyFont="1" applyFill="1" applyBorder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169" fontId="9" fillId="5" borderId="12" xfId="0" applyNumberFormat="1" applyFont="1" applyFill="1" applyBorder="1" applyAlignment="1">
      <alignment horizontal="right" vertical="center"/>
    </xf>
    <xf numFmtId="169" fontId="9" fillId="5" borderId="32" xfId="0" applyNumberFormat="1" applyFont="1" applyFill="1" applyBorder="1" applyAlignment="1">
      <alignment horizontal="right" vertical="center"/>
    </xf>
    <xf numFmtId="169" fontId="9" fillId="5" borderId="17" xfId="0" applyNumberFormat="1" applyFont="1" applyFill="1" applyBorder="1" applyAlignment="1">
      <alignment horizontal="right" vertical="center"/>
    </xf>
    <xf numFmtId="9" fontId="9" fillId="2" borderId="48" xfId="0" applyNumberFormat="1" applyFont="1" applyFill="1" applyBorder="1" applyAlignment="1">
      <alignment horizontal="center" vertical="center"/>
    </xf>
    <xf numFmtId="169" fontId="8" fillId="0" borderId="0" xfId="0" applyNumberFormat="1" applyFont="1" applyAlignment="1">
      <alignment vertical="center"/>
    </xf>
    <xf numFmtId="0" fontId="8" fillId="2" borderId="19" xfId="0" applyFont="1" applyFill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9" fillId="2" borderId="18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horizontal="right" vertical="center"/>
    </xf>
    <xf numFmtId="169" fontId="9" fillId="2" borderId="32" xfId="0" applyNumberFormat="1" applyFont="1" applyFill="1" applyBorder="1" applyAlignment="1">
      <alignment horizontal="center" vertical="center"/>
    </xf>
    <xf numFmtId="0" fontId="8" fillId="2" borderId="0" xfId="16" applyNumberFormat="1" applyFont="1" applyFill="1" applyBorder="1" applyAlignment="1" applyProtection="1">
      <alignment horizontal="center" vertical="center"/>
    </xf>
    <xf numFmtId="169" fontId="9" fillId="2" borderId="39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vertical="center"/>
    </xf>
    <xf numFmtId="0" fontId="9" fillId="2" borderId="18" xfId="0" applyFont="1" applyFill="1" applyBorder="1" applyAlignment="1">
      <alignment vertical="center"/>
    </xf>
    <xf numFmtId="166" fontId="9" fillId="2" borderId="25" xfId="14" applyNumberFormat="1" applyFont="1" applyFill="1" applyBorder="1" applyAlignment="1" applyProtection="1">
      <alignment horizontal="center" vertical="center" wrapText="1"/>
    </xf>
    <xf numFmtId="166" fontId="9" fillId="2" borderId="0" xfId="14" applyNumberFormat="1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8" fillId="2" borderId="13" xfId="0" applyFont="1" applyFill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8" fillId="0" borderId="54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169" fontId="8" fillId="8" borderId="13" xfId="15" applyNumberFormat="1" applyFont="1" applyFill="1" applyBorder="1" applyAlignment="1" applyProtection="1">
      <alignment horizontal="center" vertical="center"/>
      <protection locked="0"/>
    </xf>
    <xf numFmtId="169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8" borderId="5" xfId="15" applyNumberFormat="1" applyFont="1" applyFill="1" applyBorder="1" applyAlignment="1" applyProtection="1">
      <alignment horizontal="center" vertical="center"/>
      <protection locked="0"/>
    </xf>
    <xf numFmtId="0" fontId="8" fillId="0" borderId="63" xfId="0" applyFont="1" applyBorder="1" applyAlignment="1">
      <alignment vertical="center"/>
    </xf>
    <xf numFmtId="0" fontId="8" fillId="0" borderId="2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2" fontId="9" fillId="2" borderId="0" xfId="16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/>
      <protection locked="0"/>
    </xf>
    <xf numFmtId="49" fontId="8" fillId="2" borderId="1" xfId="0" applyNumberFormat="1" applyFont="1" applyFill="1" applyBorder="1" applyAlignment="1" applyProtection="1">
      <alignment horizontal="left" vertical="center"/>
      <protection locked="0"/>
    </xf>
    <xf numFmtId="9" fontId="9" fillId="2" borderId="3" xfId="12" applyFont="1" applyFill="1" applyBorder="1" applyAlignment="1" applyProtection="1">
      <alignment horizontal="center" vertical="center"/>
    </xf>
    <xf numFmtId="0" fontId="8" fillId="0" borderId="18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9" fontId="23" fillId="0" borderId="15" xfId="0" applyNumberFormat="1" applyFont="1" applyBorder="1" applyAlignment="1">
      <alignment horizontal="left" vertical="center"/>
    </xf>
    <xf numFmtId="9" fontId="23" fillId="0" borderId="42" xfId="0" applyNumberFormat="1" applyFont="1" applyBorder="1" applyAlignment="1">
      <alignment horizontal="left" vertical="center"/>
    </xf>
    <xf numFmtId="9" fontId="23" fillId="0" borderId="0" xfId="0" applyNumberFormat="1" applyFont="1" applyAlignment="1">
      <alignment horizontal="left" vertical="center"/>
    </xf>
    <xf numFmtId="169" fontId="8" fillId="2" borderId="0" xfId="0" applyNumberFormat="1" applyFont="1" applyFill="1" applyAlignment="1">
      <alignment horizontal="right" vertical="center"/>
    </xf>
    <xf numFmtId="0" fontId="10" fillId="3" borderId="19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right" vertical="center"/>
    </xf>
    <xf numFmtId="0" fontId="19" fillId="3" borderId="18" xfId="0" applyFont="1" applyFill="1" applyBorder="1" applyAlignment="1">
      <alignment vertical="center"/>
    </xf>
    <xf numFmtId="0" fontId="10" fillId="3" borderId="38" xfId="0" applyFont="1" applyFill="1" applyBorder="1" applyAlignment="1">
      <alignment horizontal="center" vertical="center"/>
    </xf>
    <xf numFmtId="169" fontId="10" fillId="3" borderId="38" xfId="0" applyNumberFormat="1" applyFont="1" applyFill="1" applyBorder="1" applyAlignment="1">
      <alignment horizontal="center" vertical="center"/>
    </xf>
    <xf numFmtId="169" fontId="10" fillId="3" borderId="34" xfId="0" applyNumberFormat="1" applyFont="1" applyFill="1" applyBorder="1" applyAlignment="1">
      <alignment horizontal="center" vertical="center"/>
    </xf>
    <xf numFmtId="0" fontId="8" fillId="0" borderId="54" xfId="0" applyFont="1" applyBorder="1" applyAlignment="1">
      <alignment vertical="center" wrapText="1"/>
    </xf>
    <xf numFmtId="0" fontId="9" fillId="0" borderId="54" xfId="0" applyFont="1" applyBorder="1" applyAlignment="1">
      <alignment horizontal="right" vertical="center"/>
    </xf>
    <xf numFmtId="169" fontId="9" fillId="2" borderId="22" xfId="0" applyNumberFormat="1" applyFont="1" applyFill="1" applyBorder="1" applyAlignment="1">
      <alignment horizontal="center" vertical="center"/>
    </xf>
    <xf numFmtId="169" fontId="9" fillId="0" borderId="22" xfId="0" applyNumberFormat="1" applyFont="1" applyBorder="1" applyAlignment="1">
      <alignment horizontal="center" vertical="center"/>
    </xf>
    <xf numFmtId="169" fontId="9" fillId="0" borderId="60" xfId="0" applyNumberFormat="1" applyFont="1" applyBorder="1" applyAlignment="1">
      <alignment horizontal="center" vertical="center"/>
    </xf>
    <xf numFmtId="9" fontId="8" fillId="0" borderId="0" xfId="12" applyFont="1" applyFill="1" applyBorder="1" applyAlignment="1" applyProtection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3" xfId="0" applyFont="1" applyBorder="1" applyAlignment="1">
      <alignment vertical="center" wrapText="1"/>
    </xf>
    <xf numFmtId="0" fontId="9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8" fontId="8" fillId="2" borderId="0" xfId="0" applyNumberFormat="1" applyFont="1" applyFill="1" applyAlignment="1">
      <alignment horizontal="right" vertical="center"/>
    </xf>
    <xf numFmtId="0" fontId="8" fillId="0" borderId="26" xfId="0" applyFont="1" applyBorder="1" applyAlignment="1">
      <alignment vertical="center"/>
    </xf>
    <xf numFmtId="166" fontId="8" fillId="0" borderId="18" xfId="14" applyNumberFormat="1" applyFont="1" applyBorder="1" applyAlignment="1" applyProtection="1">
      <alignment vertical="center"/>
    </xf>
    <xf numFmtId="166" fontId="8" fillId="0" borderId="34" xfId="14" applyNumberFormat="1" applyFont="1" applyBorder="1" applyAlignment="1" applyProtection="1">
      <alignment vertical="center"/>
    </xf>
    <xf numFmtId="166" fontId="8" fillId="0" borderId="0" xfId="14" applyNumberFormat="1" applyFont="1" applyBorder="1" applyAlignment="1" applyProtection="1">
      <alignment vertical="center"/>
    </xf>
    <xf numFmtId="166" fontId="9" fillId="2" borderId="38" xfId="14" applyNumberFormat="1" applyFont="1" applyFill="1" applyBorder="1" applyAlignment="1" applyProtection="1">
      <alignment horizontal="center" vertical="center" wrapText="1"/>
    </xf>
    <xf numFmtId="166" fontId="9" fillId="2" borderId="29" xfId="14" applyNumberFormat="1" applyFont="1" applyFill="1" applyBorder="1" applyAlignment="1" applyProtection="1">
      <alignment horizontal="center" vertical="center" wrapText="1"/>
    </xf>
    <xf numFmtId="166" fontId="9" fillId="2" borderId="15" xfId="14" applyNumberFormat="1" applyFont="1" applyFill="1" applyBorder="1" applyAlignment="1" applyProtection="1">
      <alignment horizontal="center" vertical="center" wrapText="1"/>
    </xf>
    <xf numFmtId="166" fontId="9" fillId="2" borderId="56" xfId="14" applyNumberFormat="1" applyFont="1" applyFill="1" applyBorder="1" applyAlignment="1" applyProtection="1">
      <alignment horizontal="center" vertical="center" wrapText="1"/>
    </xf>
    <xf numFmtId="0" fontId="9" fillId="0" borderId="54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169" fontId="8" fillId="0" borderId="22" xfId="0" applyNumberFormat="1" applyFont="1" applyBorder="1" applyAlignment="1">
      <alignment horizontal="center" vertical="center"/>
    </xf>
    <xf numFmtId="169" fontId="8" fillId="0" borderId="42" xfId="0" applyNumberFormat="1" applyFont="1" applyBorder="1" applyAlignment="1">
      <alignment horizontal="center" vertical="center"/>
    </xf>
    <xf numFmtId="0" fontId="8" fillId="8" borderId="22" xfId="15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169" fontId="8" fillId="0" borderId="36" xfId="0" applyNumberFormat="1" applyFont="1" applyBorder="1" applyAlignment="1">
      <alignment horizontal="center" vertical="center"/>
    </xf>
    <xf numFmtId="169" fontId="8" fillId="10" borderId="36" xfId="0" applyNumberFormat="1" applyFont="1" applyFill="1" applyBorder="1" applyAlignment="1">
      <alignment horizontal="center" vertical="center"/>
    </xf>
    <xf numFmtId="169" fontId="8" fillId="0" borderId="58" xfId="0" applyNumberFormat="1" applyFont="1" applyBorder="1" applyAlignment="1">
      <alignment horizontal="center" vertical="center"/>
    </xf>
    <xf numFmtId="0" fontId="8" fillId="8" borderId="9" xfId="15" applyNumberFormat="1" applyFont="1" applyFill="1" applyBorder="1" applyAlignment="1" applyProtection="1">
      <alignment horizontal="center" vertical="center"/>
      <protection locked="0"/>
    </xf>
    <xf numFmtId="0" fontId="23" fillId="0" borderId="2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1" fontId="23" fillId="0" borderId="0" xfId="0" applyNumberFormat="1" applyFont="1" applyAlignment="1">
      <alignment horizontal="left" vertical="center"/>
    </xf>
    <xf numFmtId="1" fontId="23" fillId="0" borderId="34" xfId="0" applyNumberFormat="1" applyFont="1" applyBorder="1" applyAlignment="1">
      <alignment horizontal="left" vertical="center"/>
    </xf>
    <xf numFmtId="173" fontId="8" fillId="2" borderId="0" xfId="0" applyNumberFormat="1" applyFont="1" applyFill="1" applyAlignment="1" applyProtection="1">
      <alignment horizontal="left" vertical="center"/>
      <protection locked="0"/>
    </xf>
    <xf numFmtId="173" fontId="8" fillId="2" borderId="0" xfId="0" applyNumberFormat="1" applyFont="1" applyFill="1" applyAlignment="1">
      <alignment horizontal="left" vertical="center"/>
    </xf>
    <xf numFmtId="173" fontId="8" fillId="0" borderId="0" xfId="0" applyNumberFormat="1" applyFont="1" applyAlignment="1">
      <alignment horizontal="left" vertical="center"/>
    </xf>
    <xf numFmtId="0" fontId="8" fillId="0" borderId="18" xfId="0" applyFont="1" applyBorder="1" applyAlignment="1">
      <alignment vertical="center" wrapText="1"/>
    </xf>
    <xf numFmtId="0" fontId="9" fillId="0" borderId="18" xfId="0" applyFont="1" applyBorder="1" applyAlignment="1">
      <alignment horizontal="right" vertical="center"/>
    </xf>
    <xf numFmtId="169" fontId="8" fillId="10" borderId="12" xfId="0" applyNumberFormat="1" applyFont="1" applyFill="1" applyBorder="1" applyAlignment="1">
      <alignment horizontal="center" vertical="center"/>
    </xf>
    <xf numFmtId="169" fontId="8" fillId="0" borderId="34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horizontal="center" vertical="center"/>
    </xf>
    <xf numFmtId="0" fontId="18" fillId="7" borderId="10" xfId="10" applyFont="1" applyFill="1" applyBorder="1" applyAlignment="1">
      <alignment horizontal="center" vertical="center"/>
    </xf>
    <xf numFmtId="0" fontId="11" fillId="3" borderId="49" xfId="10" applyFont="1" applyFill="1" applyBorder="1" applyAlignment="1">
      <alignment horizontal="center" vertical="center" wrapText="1"/>
    </xf>
    <xf numFmtId="0" fontId="11" fillId="3" borderId="22" xfId="10" applyFont="1" applyFill="1" applyBorder="1" applyAlignment="1">
      <alignment horizontal="center" vertical="center" wrapText="1"/>
    </xf>
    <xf numFmtId="0" fontId="11" fillId="3" borderId="52" xfId="10" applyFont="1" applyFill="1" applyBorder="1" applyAlignment="1">
      <alignment horizontal="center" vertical="center" wrapText="1"/>
    </xf>
    <xf numFmtId="1" fontId="13" fillId="6" borderId="7" xfId="12" applyNumberFormat="1" applyFont="1" applyFill="1" applyBorder="1" applyAlignment="1" applyProtection="1">
      <alignment horizontal="center" vertical="center"/>
    </xf>
    <xf numFmtId="0" fontId="15" fillId="6" borderId="37" xfId="10" applyFont="1" applyFill="1" applyBorder="1" applyAlignment="1">
      <alignment horizontal="center" vertical="center"/>
    </xf>
    <xf numFmtId="169" fontId="8" fillId="2" borderId="67" xfId="0" applyNumberFormat="1" applyFont="1" applyFill="1" applyBorder="1" applyAlignment="1">
      <alignment horizontal="center" vertical="center"/>
    </xf>
    <xf numFmtId="169" fontId="8" fillId="2" borderId="26" xfId="0" applyNumberFormat="1" applyFont="1" applyFill="1" applyBorder="1" applyAlignment="1">
      <alignment horizontal="center" vertical="center"/>
    </xf>
    <xf numFmtId="0" fontId="15" fillId="7" borderId="64" xfId="10" applyFont="1" applyFill="1" applyBorder="1" applyAlignment="1">
      <alignment horizontal="left" vertical="center"/>
    </xf>
    <xf numFmtId="0" fontId="15" fillId="7" borderId="47" xfId="10" applyFont="1" applyFill="1" applyBorder="1" applyAlignment="1">
      <alignment horizontal="left" vertical="center"/>
    </xf>
    <xf numFmtId="0" fontId="15" fillId="7" borderId="51" xfId="10" applyFont="1" applyFill="1" applyBorder="1" applyAlignment="1">
      <alignment horizontal="left" vertical="center"/>
    </xf>
    <xf numFmtId="0" fontId="15" fillId="7" borderId="39" xfId="10" applyFont="1" applyFill="1" applyBorder="1" applyAlignment="1">
      <alignment horizontal="left" vertical="center"/>
    </xf>
    <xf numFmtId="169" fontId="9" fillId="5" borderId="38" xfId="0" applyNumberFormat="1" applyFont="1" applyFill="1" applyBorder="1" applyAlignment="1">
      <alignment vertical="center"/>
    </xf>
    <xf numFmtId="1" fontId="13" fillId="6" borderId="13" xfId="12" applyNumberFormat="1" applyFont="1" applyFill="1" applyBorder="1" applyAlignment="1" applyProtection="1">
      <alignment horizontal="center" vertical="center"/>
    </xf>
    <xf numFmtId="0" fontId="15" fillId="0" borderId="69" xfId="10" applyFont="1" applyBorder="1" applyAlignment="1" applyProtection="1">
      <alignment horizontal="center" vertical="center"/>
      <protection locked="0"/>
    </xf>
    <xf numFmtId="0" fontId="15" fillId="2" borderId="70" xfId="10" applyFont="1" applyFill="1" applyBorder="1" applyAlignment="1" applyProtection="1">
      <alignment horizontal="center" vertical="center" wrapText="1"/>
      <protection locked="0"/>
    </xf>
    <xf numFmtId="0" fontId="17" fillId="2" borderId="5" xfId="10" applyFont="1" applyFill="1" applyBorder="1" applyAlignment="1" applyProtection="1">
      <alignment vertical="center"/>
      <protection locked="0"/>
    </xf>
    <xf numFmtId="0" fontId="17" fillId="2" borderId="0" xfId="10" applyFont="1" applyFill="1" applyAlignment="1" applyProtection="1">
      <alignment vertical="center"/>
      <protection locked="0"/>
    </xf>
    <xf numFmtId="1" fontId="13" fillId="0" borderId="5" xfId="9" applyNumberFormat="1" applyFont="1" applyBorder="1" applyAlignment="1" applyProtection="1">
      <alignment horizontal="center" vertical="center"/>
      <protection locked="0"/>
    </xf>
    <xf numFmtId="0" fontId="15" fillId="2" borderId="5" xfId="10" applyFont="1" applyFill="1" applyBorder="1" applyAlignment="1" applyProtection="1">
      <alignment horizontal="center" vertical="center"/>
      <protection locked="0"/>
    </xf>
    <xf numFmtId="0" fontId="18" fillId="0" borderId="69" xfId="10" applyFont="1" applyBorder="1" applyAlignment="1" applyProtection="1">
      <alignment horizontal="center" vertical="center"/>
      <protection locked="0"/>
    </xf>
    <xf numFmtId="0" fontId="15" fillId="0" borderId="63" xfId="10" applyFont="1" applyBorder="1" applyAlignment="1" applyProtection="1">
      <alignment horizontal="center" vertical="center"/>
      <protection locked="0"/>
    </xf>
    <xf numFmtId="0" fontId="13" fillId="0" borderId="13" xfId="9" applyNumberFormat="1" applyFont="1" applyBorder="1" applyAlignment="1" applyProtection="1">
      <alignment horizontal="center" vertical="center"/>
      <protection locked="0"/>
    </xf>
    <xf numFmtId="0" fontId="15" fillId="0" borderId="4" xfId="10" applyFont="1" applyBorder="1" applyAlignment="1" applyProtection="1">
      <alignment horizontal="center" vertical="center"/>
      <protection locked="0"/>
    </xf>
    <xf numFmtId="0" fontId="15" fillId="6" borderId="4" xfId="10" applyFont="1" applyFill="1" applyBorder="1" applyAlignment="1">
      <alignment horizontal="center" vertical="center"/>
    </xf>
    <xf numFmtId="0" fontId="18" fillId="6" borderId="31" xfId="10" applyFont="1" applyFill="1" applyBorder="1" applyAlignment="1">
      <alignment horizontal="center" vertical="center"/>
    </xf>
    <xf numFmtId="0" fontId="15" fillId="6" borderId="31" xfId="10" applyFont="1" applyFill="1" applyBorder="1" applyAlignment="1">
      <alignment horizontal="center" vertical="center"/>
    </xf>
    <xf numFmtId="0" fontId="17" fillId="2" borderId="1" xfId="10" applyFont="1" applyFill="1" applyBorder="1" applyAlignment="1" applyProtection="1">
      <alignment vertical="center"/>
      <protection locked="0"/>
    </xf>
    <xf numFmtId="0" fontId="18" fillId="0" borderId="4" xfId="10" applyFont="1" applyBorder="1" applyAlignment="1" applyProtection="1">
      <alignment horizontal="center" vertical="center"/>
      <protection locked="0"/>
    </xf>
    <xf numFmtId="0" fontId="15" fillId="2" borderId="28" xfId="10" applyFont="1" applyFill="1" applyBorder="1" applyAlignment="1" applyProtection="1">
      <alignment horizontal="center" vertical="center" wrapText="1"/>
      <protection locked="0"/>
    </xf>
    <xf numFmtId="172" fontId="9" fillId="7" borderId="50" xfId="0" applyNumberFormat="1" applyFont="1" applyFill="1" applyBorder="1" applyAlignment="1">
      <alignment vertical="center"/>
    </xf>
    <xf numFmtId="0" fontId="18" fillId="7" borderId="8" xfId="10" applyFont="1" applyFill="1" applyBorder="1" applyAlignment="1">
      <alignment horizontal="center" vertical="center"/>
    </xf>
    <xf numFmtId="0" fontId="18" fillId="7" borderId="9" xfId="10" applyFont="1" applyFill="1" applyBorder="1" applyAlignment="1">
      <alignment horizontal="center" vertical="center"/>
    </xf>
    <xf numFmtId="0" fontId="18" fillId="7" borderId="65" xfId="10" applyFont="1" applyFill="1" applyBorder="1" applyAlignment="1">
      <alignment horizontal="center" vertical="center"/>
    </xf>
    <xf numFmtId="1" fontId="14" fillId="2" borderId="65" xfId="10" applyNumberFormat="1" applyFont="1" applyFill="1" applyBorder="1" applyAlignment="1">
      <alignment horizontal="center" vertical="center" wrapText="1"/>
    </xf>
    <xf numFmtId="1" fontId="14" fillId="2" borderId="8" xfId="10" applyNumberFormat="1" applyFont="1" applyFill="1" applyBorder="1" applyAlignment="1">
      <alignment horizontal="center" vertical="center" wrapText="1"/>
    </xf>
    <xf numFmtId="164" fontId="14" fillId="2" borderId="4" xfId="1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9" fontId="13" fillId="2" borderId="0" xfId="9" applyFont="1" applyFill="1" applyAlignment="1" applyProtection="1">
      <alignment vertical="center"/>
    </xf>
    <xf numFmtId="1" fontId="13" fillId="2" borderId="4" xfId="0" applyNumberFormat="1" applyFont="1" applyFill="1" applyBorder="1" applyAlignment="1">
      <alignment horizontal="center" vertical="center"/>
    </xf>
    <xf numFmtId="0" fontId="17" fillId="2" borderId="69" xfId="10" applyFont="1" applyFill="1" applyBorder="1" applyAlignment="1" applyProtection="1">
      <alignment vertical="center"/>
      <protection locked="0"/>
    </xf>
    <xf numFmtId="0" fontId="17" fillId="7" borderId="9" xfId="10" applyFont="1" applyFill="1" applyBorder="1" applyAlignment="1">
      <alignment vertical="center"/>
    </xf>
    <xf numFmtId="0" fontId="17" fillId="2" borderId="2" xfId="10" applyFont="1" applyFill="1" applyBorder="1" applyAlignment="1" applyProtection="1">
      <alignment vertical="center"/>
      <protection locked="0"/>
    </xf>
    <xf numFmtId="164" fontId="13" fillId="2" borderId="0" xfId="0" applyNumberFormat="1" applyFont="1" applyFill="1" applyAlignment="1">
      <alignment vertical="center"/>
    </xf>
    <xf numFmtId="0" fontId="2" fillId="2" borderId="5" xfId="10" applyFont="1" applyFill="1" applyBorder="1" applyAlignment="1">
      <alignment vertical="center"/>
    </xf>
    <xf numFmtId="169" fontId="10" fillId="2" borderId="0" xfId="0" applyNumberFormat="1" applyFont="1" applyFill="1" applyAlignment="1">
      <alignment horizontal="center" vertical="center" wrapText="1"/>
    </xf>
    <xf numFmtId="168" fontId="19" fillId="2" borderId="0" xfId="0" applyNumberFormat="1" applyFont="1" applyFill="1" applyAlignment="1">
      <alignment vertical="center"/>
    </xf>
    <xf numFmtId="0" fontId="13" fillId="0" borderId="21" xfId="10" applyFont="1" applyBorder="1" applyAlignment="1" applyProtection="1">
      <alignment horizontal="center" vertical="center"/>
      <protection locked="0"/>
    </xf>
    <xf numFmtId="0" fontId="13" fillId="0" borderId="44" xfId="10" applyFont="1" applyBorder="1" applyAlignment="1" applyProtection="1">
      <alignment horizontal="center" vertical="center"/>
      <protection locked="0"/>
    </xf>
    <xf numFmtId="0" fontId="2" fillId="2" borderId="4" xfId="10" applyFont="1" applyFill="1" applyBorder="1" applyAlignment="1">
      <alignment vertical="center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17" fillId="2" borderId="4" xfId="10" applyFont="1" applyFill="1" applyBorder="1" applyAlignment="1" applyProtection="1">
      <alignment horizontal="left" vertical="center" wrapText="1"/>
      <protection locked="0"/>
    </xf>
    <xf numFmtId="0" fontId="17" fillId="2" borderId="4" xfId="10" applyFont="1" applyFill="1" applyBorder="1" applyAlignment="1" applyProtection="1">
      <alignment horizontal="left" vertical="top" wrapText="1"/>
      <protection locked="0"/>
    </xf>
    <xf numFmtId="0" fontId="17" fillId="2" borderId="21" xfId="10" applyFont="1" applyFill="1" applyBorder="1" applyAlignment="1" applyProtection="1">
      <alignment horizontal="left" vertical="top" wrapText="1"/>
      <protection locked="0"/>
    </xf>
    <xf numFmtId="0" fontId="16" fillId="3" borderId="27" xfId="10" applyFont="1" applyFill="1" applyBorder="1" applyAlignment="1">
      <alignment horizontal="center" vertical="center" wrapText="1"/>
    </xf>
    <xf numFmtId="0" fontId="16" fillId="3" borderId="51" xfId="1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9" fontId="8" fillId="2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vertical="center" wrapText="1"/>
    </xf>
    <xf numFmtId="0" fontId="9" fillId="0" borderId="6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27" fillId="2" borderId="0" xfId="0" applyFont="1" applyFill="1" applyAlignment="1">
      <alignment vertical="center"/>
    </xf>
    <xf numFmtId="0" fontId="9" fillId="2" borderId="53" xfId="0" applyFont="1" applyFill="1" applyBorder="1" applyAlignment="1">
      <alignment horizontal="left" vertical="center"/>
    </xf>
    <xf numFmtId="0" fontId="9" fillId="2" borderId="53" xfId="0" applyFont="1" applyFill="1" applyBorder="1" applyAlignment="1">
      <alignment vertical="center"/>
    </xf>
    <xf numFmtId="0" fontId="9" fillId="2" borderId="54" xfId="0" applyFont="1" applyFill="1" applyBorder="1" applyAlignment="1">
      <alignment vertical="center"/>
    </xf>
    <xf numFmtId="0" fontId="9" fillId="2" borderId="60" xfId="0" applyFont="1" applyFill="1" applyBorder="1" applyAlignment="1">
      <alignment vertical="center"/>
    </xf>
    <xf numFmtId="168" fontId="8" fillId="8" borderId="4" xfId="0" applyNumberFormat="1" applyFont="1" applyFill="1" applyBorder="1" applyAlignment="1" applyProtection="1">
      <alignment horizontal="center" vertical="center"/>
      <protection locked="0"/>
    </xf>
    <xf numFmtId="168" fontId="8" fillId="8" borderId="4" xfId="0" applyNumberFormat="1" applyFont="1" applyFill="1" applyBorder="1" applyAlignment="1" applyProtection="1">
      <alignment horizontal="right" vertical="center"/>
      <protection locked="0"/>
    </xf>
    <xf numFmtId="1" fontId="8" fillId="8" borderId="4" xfId="0" applyNumberFormat="1" applyFont="1" applyFill="1" applyBorder="1" applyAlignment="1" applyProtection="1">
      <alignment horizontal="center" vertical="center"/>
      <protection locked="0"/>
    </xf>
    <xf numFmtId="1" fontId="9" fillId="2" borderId="36" xfId="0" applyNumberFormat="1" applyFont="1" applyFill="1" applyBorder="1" applyAlignment="1">
      <alignment horizontal="center" vertical="center"/>
    </xf>
    <xf numFmtId="1" fontId="13" fillId="0" borderId="4" xfId="0" applyNumberFormat="1" applyFont="1" applyBorder="1" applyAlignment="1">
      <alignment horizontal="center" vertical="center"/>
    </xf>
    <xf numFmtId="0" fontId="17" fillId="0" borderId="4" xfId="10" applyFont="1" applyBorder="1" applyAlignment="1" applyProtection="1">
      <alignment vertical="center"/>
      <protection locked="0"/>
    </xf>
    <xf numFmtId="0" fontId="9" fillId="2" borderId="54" xfId="0" applyFont="1" applyFill="1" applyBorder="1" applyAlignment="1">
      <alignment horizontal="left" vertical="center"/>
    </xf>
    <xf numFmtId="0" fontId="9" fillId="2" borderId="54" xfId="0" applyFont="1" applyFill="1" applyBorder="1" applyAlignment="1">
      <alignment horizontal="right" vertical="center"/>
    </xf>
    <xf numFmtId="0" fontId="8" fillId="2" borderId="54" xfId="0" applyFont="1" applyFill="1" applyBorder="1" applyAlignment="1">
      <alignment vertical="center"/>
    </xf>
    <xf numFmtId="0" fontId="9" fillId="2" borderId="54" xfId="0" applyFont="1" applyFill="1" applyBorder="1" applyAlignment="1">
      <alignment horizontal="center" vertical="center"/>
    </xf>
    <xf numFmtId="169" fontId="9" fillId="2" borderId="54" xfId="0" applyNumberFormat="1" applyFont="1" applyFill="1" applyBorder="1" applyAlignment="1">
      <alignment horizontal="center" vertical="center"/>
    </xf>
    <xf numFmtId="169" fontId="9" fillId="2" borderId="40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69" fontId="9" fillId="2" borderId="1" xfId="0" applyNumberFormat="1" applyFont="1" applyFill="1" applyBorder="1" applyAlignment="1">
      <alignment horizontal="center" vertical="center"/>
    </xf>
    <xf numFmtId="169" fontId="9" fillId="2" borderId="2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horizontal="right" vertical="center"/>
    </xf>
    <xf numFmtId="0" fontId="8" fillId="2" borderId="23" xfId="0" applyFont="1" applyFill="1" applyBorder="1" applyAlignment="1">
      <alignment vertical="center"/>
    </xf>
    <xf numFmtId="0" fontId="9" fillId="2" borderId="23" xfId="0" applyFont="1" applyFill="1" applyBorder="1" applyAlignment="1">
      <alignment horizontal="center" vertical="center"/>
    </xf>
    <xf numFmtId="169" fontId="9" fillId="2" borderId="41" xfId="0" applyNumberFormat="1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169" fontId="8" fillId="2" borderId="52" xfId="0" applyNumberFormat="1" applyFont="1" applyFill="1" applyBorder="1" applyAlignment="1">
      <alignment horizontal="center" vertical="center"/>
    </xf>
    <xf numFmtId="169" fontId="8" fillId="2" borderId="31" xfId="0" applyNumberFormat="1" applyFont="1" applyFill="1" applyBorder="1" applyAlignment="1">
      <alignment horizontal="center" vertical="center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15" fillId="2" borderId="7" xfId="10" applyFont="1" applyFill="1" applyBorder="1" applyAlignment="1" applyProtection="1">
      <alignment horizontal="center" vertical="center"/>
      <protection locked="0"/>
    </xf>
    <xf numFmtId="0" fontId="1" fillId="2" borderId="7" xfId="10" applyFont="1" applyFill="1" applyBorder="1" applyAlignment="1" applyProtection="1">
      <alignment horizontal="center" vertical="center" wrapText="1"/>
      <protection locked="0"/>
    </xf>
    <xf numFmtId="0" fontId="13" fillId="0" borderId="48" xfId="9" applyNumberFormat="1" applyFont="1" applyBorder="1" applyAlignment="1" applyProtection="1">
      <alignment horizontal="left" vertical="center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3" fillId="0" borderId="31" xfId="9" applyNumberFormat="1" applyFont="1" applyBorder="1" applyAlignment="1" applyProtection="1">
      <alignment horizontal="left" vertical="center"/>
      <protection locked="0"/>
    </xf>
    <xf numFmtId="0" fontId="13" fillId="0" borderId="53" xfId="9" applyNumberFormat="1" applyFont="1" applyBorder="1" applyAlignment="1" applyProtection="1">
      <alignment horizontal="left" vertical="center"/>
      <protection locked="0"/>
    </xf>
    <xf numFmtId="0" fontId="13" fillId="0" borderId="54" xfId="9" applyNumberFormat="1" applyFont="1" applyBorder="1" applyAlignment="1" applyProtection="1">
      <alignment horizontal="left" vertical="center"/>
      <protection locked="0"/>
    </xf>
    <xf numFmtId="0" fontId="13" fillId="0" borderId="60" xfId="9" applyNumberFormat="1" applyFont="1" applyBorder="1" applyAlignment="1" applyProtection="1">
      <alignment horizontal="left" vertical="center"/>
      <protection locked="0"/>
    </xf>
    <xf numFmtId="0" fontId="13" fillId="0" borderId="68" xfId="9" applyNumberFormat="1" applyFont="1" applyBorder="1" applyAlignment="1" applyProtection="1">
      <alignment horizontal="left" vertical="center"/>
      <protection locked="0"/>
    </xf>
    <xf numFmtId="0" fontId="13" fillId="0" borderId="24" xfId="9" applyNumberFormat="1" applyFont="1" applyBorder="1" applyAlignment="1" applyProtection="1">
      <alignment horizontal="left" vertical="center"/>
      <protection locked="0"/>
    </xf>
    <xf numFmtId="0" fontId="13" fillId="0" borderId="37" xfId="9" applyNumberFormat="1" applyFont="1" applyBorder="1" applyAlignment="1" applyProtection="1">
      <alignment horizontal="left" vertical="center"/>
      <protection locked="0"/>
    </xf>
    <xf numFmtId="0" fontId="16" fillId="3" borderId="25" xfId="10" applyFont="1" applyFill="1" applyBorder="1" applyAlignment="1">
      <alignment horizontal="center" vertical="center" wrapText="1"/>
    </xf>
    <xf numFmtId="0" fontId="16" fillId="3" borderId="15" xfId="10" applyFont="1" applyFill="1" applyBorder="1" applyAlignment="1">
      <alignment horizontal="center" vertical="center" wrapText="1"/>
    </xf>
    <xf numFmtId="0" fontId="16" fillId="3" borderId="42" xfId="10" applyFont="1" applyFill="1" applyBorder="1" applyAlignment="1">
      <alignment horizontal="center" vertical="center" wrapText="1"/>
    </xf>
    <xf numFmtId="0" fontId="16" fillId="3" borderId="51" xfId="10" applyFont="1" applyFill="1" applyBorder="1" applyAlignment="1">
      <alignment horizontal="center" vertical="center" wrapText="1"/>
    </xf>
    <xf numFmtId="0" fontId="16" fillId="3" borderId="23" xfId="10" applyFont="1" applyFill="1" applyBorder="1" applyAlignment="1">
      <alignment horizontal="center" vertical="center" wrapText="1"/>
    </xf>
    <xf numFmtId="0" fontId="16" fillId="3" borderId="39" xfId="10" applyFont="1" applyFill="1" applyBorder="1" applyAlignment="1">
      <alignment horizontal="center" vertical="center" wrapText="1"/>
    </xf>
    <xf numFmtId="0" fontId="16" fillId="3" borderId="6" xfId="10" applyFont="1" applyFill="1" applyBorder="1" applyAlignment="1">
      <alignment horizontal="center" vertical="center" wrapText="1"/>
    </xf>
    <xf numFmtId="0" fontId="16" fillId="3" borderId="20" xfId="10" applyFont="1" applyFill="1" applyBorder="1" applyAlignment="1">
      <alignment horizontal="center" vertical="center" wrapText="1"/>
    </xf>
    <xf numFmtId="0" fontId="16" fillId="3" borderId="49" xfId="10" applyFont="1" applyFill="1" applyBorder="1" applyAlignment="1">
      <alignment horizontal="center" vertical="center" wrapText="1"/>
    </xf>
    <xf numFmtId="0" fontId="16" fillId="3" borderId="8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/>
    </xf>
    <xf numFmtId="0" fontId="16" fillId="3" borderId="36" xfId="10" applyFont="1" applyFill="1" applyBorder="1" applyAlignment="1">
      <alignment horizontal="center" vertical="center"/>
    </xf>
    <xf numFmtId="0" fontId="16" fillId="3" borderId="29" xfId="10" applyFont="1" applyFill="1" applyBorder="1" applyAlignment="1">
      <alignment horizontal="center" vertical="center" wrapText="1"/>
    </xf>
    <xf numFmtId="0" fontId="16" fillId="3" borderId="41" xfId="10" applyFont="1" applyFill="1" applyBorder="1" applyAlignment="1">
      <alignment horizontal="center" vertical="center" wrapText="1"/>
    </xf>
    <xf numFmtId="0" fontId="16" fillId="3" borderId="30" xfId="10" applyFont="1" applyFill="1" applyBorder="1" applyAlignment="1">
      <alignment horizontal="center" vertical="center" wrapText="1"/>
    </xf>
    <xf numFmtId="0" fontId="16" fillId="3" borderId="36" xfId="10" applyFont="1" applyFill="1" applyBorder="1" applyAlignment="1">
      <alignment horizontal="center" vertical="center" wrapText="1"/>
    </xf>
    <xf numFmtId="0" fontId="16" fillId="3" borderId="56" xfId="10" applyFont="1" applyFill="1" applyBorder="1" applyAlignment="1">
      <alignment horizontal="center" vertical="center" wrapText="1"/>
    </xf>
    <xf numFmtId="0" fontId="16" fillId="3" borderId="55" xfId="10" applyFont="1" applyFill="1" applyBorder="1" applyAlignment="1">
      <alignment horizontal="center" vertical="center" wrapText="1"/>
    </xf>
    <xf numFmtId="0" fontId="16" fillId="3" borderId="45" xfId="10" applyFont="1" applyFill="1" applyBorder="1" applyAlignment="1" applyProtection="1">
      <alignment horizontal="center" vertical="center" wrapText="1"/>
      <protection locked="0"/>
    </xf>
    <xf numFmtId="0" fontId="16" fillId="3" borderId="57" xfId="10" applyFont="1" applyFill="1" applyBorder="1" applyAlignment="1" applyProtection="1">
      <alignment horizontal="center" vertical="center" wrapText="1"/>
      <protection locked="0"/>
    </xf>
    <xf numFmtId="0" fontId="16" fillId="3" borderId="27" xfId="10" applyFont="1" applyFill="1" applyBorder="1" applyAlignment="1" applyProtection="1">
      <alignment horizontal="center" vertical="center" wrapText="1"/>
      <protection locked="0"/>
    </xf>
    <xf numFmtId="0" fontId="16" fillId="3" borderId="45" xfId="10" applyFont="1" applyFill="1" applyBorder="1" applyAlignment="1">
      <alignment horizontal="center" vertical="center" wrapText="1"/>
    </xf>
    <xf numFmtId="0" fontId="16" fillId="3" borderId="27" xfId="1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8" borderId="3" xfId="0" applyFont="1" applyFill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 applyProtection="1">
      <alignment horizontal="center" vertical="center"/>
      <protection locked="0"/>
    </xf>
    <xf numFmtId="0" fontId="8" fillId="8" borderId="2" xfId="0" applyFont="1" applyFill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 applyProtection="1">
      <alignment horizontal="center" vertical="center"/>
      <protection locked="0"/>
    </xf>
    <xf numFmtId="0" fontId="8" fillId="8" borderId="3" xfId="0" applyFont="1" applyFill="1" applyBorder="1" applyAlignment="1" applyProtection="1">
      <alignment horizontal="center" vertical="center" wrapText="1"/>
      <protection locked="0"/>
    </xf>
    <xf numFmtId="9" fontId="8" fillId="8" borderId="3" xfId="12" applyFont="1" applyFill="1" applyBorder="1" applyAlignment="1" applyProtection="1">
      <alignment horizontal="left" vertical="center" wrapText="1"/>
      <protection locked="0"/>
    </xf>
    <xf numFmtId="9" fontId="8" fillId="8" borderId="31" xfId="12" applyFont="1" applyFill="1" applyBorder="1" applyAlignment="1" applyProtection="1">
      <alignment horizontal="left" vertical="center" wrapText="1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/>
    </xf>
    <xf numFmtId="9" fontId="8" fillId="8" borderId="3" xfId="12" applyFont="1" applyFill="1" applyBorder="1" applyAlignment="1" applyProtection="1">
      <alignment horizontal="left" vertical="center"/>
      <protection locked="0"/>
    </xf>
    <xf numFmtId="9" fontId="8" fillId="8" borderId="31" xfId="12" applyFont="1" applyFill="1" applyBorder="1" applyAlignment="1" applyProtection="1">
      <alignment horizontal="left" vertical="center"/>
      <protection locked="0"/>
    </xf>
    <xf numFmtId="0" fontId="8" fillId="9" borderId="19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right" vertical="center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66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9" fillId="2" borderId="64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9" fontId="8" fillId="8" borderId="65" xfId="12" applyFont="1" applyFill="1" applyBorder="1" applyAlignment="1" applyProtection="1">
      <alignment horizontal="left" vertical="center"/>
      <protection locked="0"/>
    </xf>
    <xf numFmtId="9" fontId="8" fillId="8" borderId="47" xfId="12" applyFont="1" applyFill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  <protection locked="0"/>
    </xf>
    <xf numFmtId="168" fontId="20" fillId="8" borderId="4" xfId="0" applyNumberFormat="1" applyFont="1" applyFill="1" applyBorder="1" applyAlignment="1" applyProtection="1">
      <alignment horizontal="left" vertical="center"/>
      <protection locked="0"/>
    </xf>
    <xf numFmtId="168" fontId="20" fillId="8" borderId="33" xfId="0" applyNumberFormat="1" applyFont="1" applyFill="1" applyBorder="1" applyAlignment="1" applyProtection="1">
      <alignment horizontal="left" vertical="center"/>
      <protection locked="0"/>
    </xf>
    <xf numFmtId="0" fontId="8" fillId="8" borderId="7" xfId="0" applyFont="1" applyFill="1" applyBorder="1" applyAlignment="1" applyProtection="1">
      <alignment horizontal="center" vertical="center"/>
      <protection locked="0"/>
    </xf>
    <xf numFmtId="0" fontId="8" fillId="8" borderId="4" xfId="0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20" fillId="8" borderId="65" xfId="0" applyFont="1" applyFill="1" applyBorder="1" applyAlignment="1" applyProtection="1">
      <alignment horizontal="left" vertical="center"/>
      <protection locked="0"/>
    </xf>
    <xf numFmtId="0" fontId="20" fillId="8" borderId="10" xfId="0" applyFont="1" applyFill="1" applyBorder="1" applyAlignment="1" applyProtection="1">
      <alignment horizontal="left" vertical="center"/>
      <protection locked="0"/>
    </xf>
    <xf numFmtId="0" fontId="20" fillId="8" borderId="47" xfId="0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0" borderId="64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0" fillId="3" borderId="26" xfId="0" applyFont="1" applyFill="1" applyBorder="1" applyAlignment="1">
      <alignment horizontal="center" vertical="center" wrapText="1"/>
    </xf>
    <xf numFmtId="0" fontId="10" fillId="3" borderId="46" xfId="0" applyFont="1" applyFill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0F8FA"/>
      <color rgb="FFFBE1E1"/>
      <color rgb="FFFAF0F0"/>
      <color rgb="FFFF99FF"/>
      <color rgb="FFE84242"/>
      <color rgb="FFCCFF66"/>
      <color rgb="FFFF8E8E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7"/>
  <sheetViews>
    <sheetView workbookViewId="0">
      <selection activeCell="D28" sqref="D28"/>
    </sheetView>
  </sheetViews>
  <sheetFormatPr baseColWidth="10" defaultColWidth="11.42578125" defaultRowHeight="12.75" x14ac:dyDescent="0.2"/>
  <cols>
    <col min="3" max="3" width="32.42578125" bestFit="1" customWidth="1"/>
  </cols>
  <sheetData>
    <row r="2" spans="2:9" x14ac:dyDescent="0.2">
      <c r="C2" s="107" t="s">
        <v>0</v>
      </c>
      <c r="D2" s="109">
        <f>'Recettes et simulat'!E6</f>
        <v>22</v>
      </c>
    </row>
    <row r="3" spans="2:9" x14ac:dyDescent="0.2">
      <c r="C3" s="107" t="s">
        <v>1</v>
      </c>
      <c r="D3" s="109">
        <f>'Recettes et simulat'!E7</f>
        <v>22</v>
      </c>
    </row>
    <row r="5" spans="2:9" x14ac:dyDescent="0.2">
      <c r="D5">
        <v>1</v>
      </c>
      <c r="E5">
        <v>2</v>
      </c>
      <c r="F5">
        <v>3</v>
      </c>
    </row>
    <row r="6" spans="2:9" ht="14.1" customHeight="1" x14ac:dyDescent="0.2">
      <c r="B6" s="153" t="s">
        <v>2</v>
      </c>
      <c r="C6" s="403" t="s">
        <v>3</v>
      </c>
      <c r="D6" s="10">
        <f>SUMIFS(Enseignements!$U$9:$U$89,Enseignements!$G$9:$G$89,Paramétrage!$D$6,Enseignements!$AC$9:$AC$89,1)*Paramétrage!$G$6+SUMIFS(Enseignements!$U$9:$U$89,Enseignements!$G$9:$G$89,Paramétrage!$D$7,Enseignements!$AC$9:$AC$89,1)*Paramétrage!$G$7+SUMIFS(Enseignements!$U$9:$U$89,Enseignements!$G$9:$G$89,Paramétrage!$D$8,Enseignements!$AC$9:$AC$89,1)*Paramétrage!$G$8+SUMIFS(Enseignements!$U$9:$U$89,Enseignements!$G$9:$G$89,Paramétrage!$D$10,Enseignements!$AC$9:$AC$89,1)*Paramétrage!$G$10+SUMIFS(Enseignements!$U$9:$U$89,Enseignements!$G$9:$G$89,Paramétrage!$D$11,Enseignements!$AC$9:$AC$89,1)*Paramétrage!$G$11+SUMIFS(Enseignements!$U$9:$U$89,Enseignements!$G$9:$G$89,Paramétrage!$D$13,Enseignements!$AC$9:$AC$89,1)*Paramétrage!$G$13+SUMIFS(Enseignements!$U$9:$U$89,Enseignements!$G$9:$G$89,Paramétrage!$D$14,Enseignements!$AC$9:$AC$89,1)*Paramétrage!$G$14+SUMIFS(Enseignements!$U$9:$U$89,Enseignements!$G$9:$G$89,Paramétrage!$D$16,Enseignements!$AC$9:$AC$89,1)*Paramétrage!$G$16+SUMIFS(Enseignements!$U$9:$U$89,Enseignements!$G$9:$G$89,Paramétrage!$D$17,Enseignements!$AC$9:$AC$89,1)*Paramétrage!$G$17+SUMIFS(Enseignements!$U$9:$U$89,Enseignements!$G$9:$G$89,Paramétrage!$D$19,Enseignements!$AC$9:$AC$89,1)*Paramétrage!$G$19+SUMIFS(Enseignements!$U$9:$U$89,Enseignements!$G$9:$G$89,Paramétrage!$D$20,Enseignements!$AC$9:$AC$89,1)*Paramétrage!$G$20+SUMIFS(Enseignements!$U$9:$U$89,Enseignements!$G$9:$G$89,Paramétrage!$D$23,Enseignements!$AC$9:$AC$89,1)*Paramétrage!$G$23+SUMIFS(Enseignements!$U$9:$U$89,Enseignements!$G$9:$G$89,Paramétrage!$D$24,Enseignements!$AC$9:$AC$89,1)*Paramétrage!$G$24+SUMIFS(Enseignements!$U$9:$U$89,Enseignements!$G$9:$G$89,Paramétrage!$D$26,Enseignements!$AC$9:$AC$89,1)*Paramétrage!$G$26+SUMIFS(Enseignements!$U$9:$U$89,Enseignements!$G$9:$G$89,Paramétrage!$D$27,Enseignements!$AC$9:$AC$89,1)*Paramétrage!$G$27</f>
        <v>0</v>
      </c>
      <c r="E6" s="10">
        <f>SUMIFS(Enseignements!$U$9:$U$89,Enseignements!$G$9:$G$89,Paramétrage!$D$6,Enseignements!$AC$9:$AC$89,2)*Paramétrage!$G$6+SUMIFS(Enseignements!$U$9:$U$89,Enseignements!$G$9:$G$89,Paramétrage!$D$7,Enseignements!$AC$9:$AC$89,2)*Paramétrage!$G$7+SUMIFS(Enseignements!$U$9:$U$89,Enseignements!$G$9:$G$89,Paramétrage!$D$8,Enseignements!$AC$9:$AC$89,2)*Paramétrage!$G$8+SUMIFS(Enseignements!$U$9:$U$89,Enseignements!$G$9:$G$89,Paramétrage!$D$10,Enseignements!$AC$9:$AC$89,2)*Paramétrage!$G$10+SUMIFS(Enseignements!$U$9:$U$89,Enseignements!$G$9:$G$89,Paramétrage!$D$11,Enseignements!$AC$9:$AC$89,2)*Paramétrage!$G$11+SUMIFS(Enseignements!$U$9:$U$89,Enseignements!$G$9:$G$89,Paramétrage!$D$13,Enseignements!$AC$9:$AC$89,2)*Paramétrage!$G$13+SUMIFS(Enseignements!$U$9:$U$89,Enseignements!$G$9:$G$89,Paramétrage!$D$14,Enseignements!$AC$9:$AC$89,2)*Paramétrage!$G$14+SUMIFS(Enseignements!$U$9:$U$89,Enseignements!$G$9:$G$89,Paramétrage!$D$16,Enseignements!$AC$9:$AC$89,2)*Paramétrage!$G$16+SUMIFS(Enseignements!$U$9:$U$89,Enseignements!$G$9:$G$89,Paramétrage!$D$17,Enseignements!$AC$9:$AC$89,2)*Paramétrage!$G$17+SUMIFS(Enseignements!$U$9:$U$89,Enseignements!$G$9:$G$89,Paramétrage!$D$19,Enseignements!$AC$9:$AC$89,2)*Paramétrage!$G$19+SUMIFS(Enseignements!$U$9:$U$89,Enseignements!$G$9:$G$89,Paramétrage!$D$20,Enseignements!$AC$9:$AC$89,2)*Paramétrage!$G$20+SUMIFS(Enseignements!$U$9:$U$89,Enseignements!$G$9:$G$89,Paramétrage!$D$23,Enseignements!$AC$9:$AC$89,2)*Paramétrage!$G$23+SUMIFS(Enseignements!$U$9:$U$89,Enseignements!$G$9:$G$89,Paramétrage!$D$24,Enseignements!$AC$9:$AC$89,2)*Paramétrage!$G$24+SUMIFS(Enseignements!$U$9:$U$89,Enseignements!$G$9:$G$89,Paramétrage!$D$26,Enseignements!$AC$9:$AC$89,2)*Paramétrage!$G$26+SUMIFS(Enseignements!$U$9:$U$89,Enseignements!$G$9:$G$89,Paramétrage!$D$27,Enseignements!$AC$9:$AC$89,2)*Paramétrage!$G$27</f>
        <v>164</v>
      </c>
      <c r="F6" s="10">
        <f>SUMIFS(Enseignements!$U$9:$U$89,Enseignements!$G$9:$G$89,Paramétrage!$D$6,Enseignements!$AC$9:$AC$89,3)*Paramétrage!$G$6+SUMIFS(Enseignements!$U$9:$U$89,Enseignements!$G$9:$G$89,Paramétrage!$D$7,Enseignements!$AC$9:$AC$89,3)*Paramétrage!$G$7+SUMIFS(Enseignements!$U$9:$U$89,Enseignements!$G$9:$G$89,Paramétrage!$D$8,Enseignements!$AC$9:$AC$89,3)*Paramétrage!$G$8+SUMIFS(Enseignements!$U$9:$U$89,Enseignements!$G$9:$G$89,Paramétrage!$D$10,Enseignements!$AC$9:$AC$89,3)*Paramétrage!$G$10+SUMIFS(Enseignements!$U$9:$U$89,Enseignements!$G$9:$G$89,Paramétrage!$D$11,Enseignements!$AC$9:$AC$89,3)*Paramétrage!$G$11+SUMIFS(Enseignements!$U$9:$U$89,Enseignements!$G$9:$G$89,Paramétrage!$D$13,Enseignements!$AC$9:$AC$89,3)*Paramétrage!$G$13+SUMIFS(Enseignements!$U$9:$U$89,Enseignements!$G$9:$G$89,Paramétrage!$D$14,Enseignements!$AC$9:$AC$89,3)*Paramétrage!$G$14+SUMIFS(Enseignements!$U$9:$U$89,Enseignements!$G$9:$G$89,Paramétrage!$D$16,Enseignements!$AC$9:$AC$89,3)*Paramétrage!$G$16+SUMIFS(Enseignements!$U$9:$U$89,Enseignements!$G$9:$G$89,Paramétrage!$D$17,Enseignements!$AC$9:$AC$89,3)*Paramétrage!$G$17+SUMIFS(Enseignements!$U$9:$U$89,Enseignements!$G$9:$G$89,Paramétrage!$D$19,Enseignements!$AC$9:$AC$89,3)*Paramétrage!$G$19+SUMIFS(Enseignements!$U$9:$U$89,Enseignements!$G$9:$G$89,Paramétrage!$D$20,Enseignements!$AC$9:$AC$89,3)*Paramétrage!$G$20+SUMIFS(Enseignements!$U$9:$U$89,Enseignements!$G$9:$G$89,Paramétrage!$D$23,Enseignements!$AC$9:$AC$89,3)*Paramétrage!$G$23+SUMIFS(Enseignements!$U$9:$U$89,Enseignements!$G$9:$G$89,Paramétrage!$D$24,Enseignements!$AC$9:$AC$89,3)*Paramétrage!$G$24+SUMIFS(Enseignements!$U$9:$U$89,Enseignements!$G$9:$G$89,Paramétrage!$D$26,Enseignements!$AC$9:$AC$89,3)*Paramétrage!$G$26+SUMIFS(Enseignements!$U$9:$U$89,Enseignements!$G$9:$G$89,Paramétrage!$D$27,Enseignements!$AC$9:$AC$89,3)*Paramétrage!$G$27</f>
        <v>0</v>
      </c>
      <c r="G6">
        <f>IF($D$2=0,0,D6+F6*($D$2-$D$3)/$D$2)</f>
        <v>0</v>
      </c>
      <c r="H6">
        <f>IF($D$2=0,0,E6+F6*$D$3/$D$2)</f>
        <v>164</v>
      </c>
      <c r="I6">
        <f t="shared" ref="I6:I16" si="0">G6+H6</f>
        <v>164</v>
      </c>
    </row>
    <row r="7" spans="2:9" ht="14.1" customHeight="1" x14ac:dyDescent="0.2">
      <c r="B7" s="153" t="s">
        <v>4</v>
      </c>
      <c r="C7" s="403" t="s">
        <v>5</v>
      </c>
      <c r="D7" s="10">
        <f>SUMIFS(Enseignements!$V$9:$V$89,Enseignements!$G$9:$G$89,Paramétrage!$D$6,Enseignements!$AC$9:$AC$89,1)*Paramétrage!$G$6+SUMIFS(Enseignements!$V$9:$V$89,Enseignements!$G$9:$G$89,Paramétrage!$D$7,Enseignements!$AC$9:$AC$89,1)*Paramétrage!$G$7+SUMIFS(Enseignements!$V$9:$V$89,Enseignements!$G$9:$G$89,Paramétrage!$D$8,Enseignements!$AC$9:$AC$89,1)*Paramétrage!$G$8+SUMIFS(Enseignements!$V$9:$V$89,Enseignements!$G$9:$G$89,Paramétrage!$D$10,Enseignements!$AC$9:$AC$89,1)*Paramétrage!$G$10+SUMIFS(Enseignements!$V$9:$V$89,Enseignements!$G$9:$G$89,Paramétrage!$D$11,Enseignements!$AC$9:$AC$89,1)*Paramétrage!$G$11+SUMIFS(Enseignements!$V$9:$V$89,Enseignements!$G$9:$G$89,Paramétrage!$D$13,Enseignements!$AC$9:$AC$89,1)*Paramétrage!$G$13+SUMIFS(Enseignements!$V$9:$V$89,Enseignements!$G$9:$G$89,Paramétrage!$D$14,Enseignements!$AC$9:$AC$89,1)*Paramétrage!$G$14+SUMIFS(Enseignements!$V$9:$V$89,Enseignements!$G$9:$G$89,Paramétrage!$D$16,Enseignements!$AC$9:$AC$89,1)*Paramétrage!$G$16+SUMIFS(Enseignements!$V$9:$V$89,Enseignements!$G$9:$G$89,Paramétrage!$D$17,Enseignements!$AC$9:$AC$89,1)*Paramétrage!$G$17+SUMIFS(Enseignements!$V$9:$V$89,Enseignements!$G$9:$G$89,Paramétrage!$D$19,Enseignements!$AC$9:$AC$89,1)*Paramétrage!$G$19+SUMIFS(Enseignements!$V$9:$V$89,Enseignements!$G$9:$G$89,Paramétrage!$D$20,Enseignements!$AC$9:$AC$89,1)*Paramétrage!$G$20+SUMIFS(Enseignements!$V$9:$V$89,Enseignements!$G$9:$G$89,Paramétrage!$D$23,Enseignements!$AC$9:$AC$89,1)*Paramétrage!$G$23+SUMIFS(Enseignements!$V$9:$V$89,Enseignements!$G$9:$G$89,Paramétrage!$D$24,Enseignements!$AC$9:$AC$89,1)*Paramétrage!$G$24+SUMIFS(Enseignements!$V$9:$V$89,Enseignements!$G$9:$G$89,Paramétrage!$D$26,Enseignements!$AC$9:$AC$89,1)*Paramétrage!$G$26+SUMIFS(Enseignements!$V$9:$V$89,Enseignements!$G$9:$G$89,Paramétrage!$D$27,Enseignements!$AC$9:$AC$89,1)*Paramétrage!$G$27</f>
        <v>0</v>
      </c>
      <c r="E7" s="10">
        <f>SUMIFS(Enseignements!$V$9:$V$89,Enseignements!$G$9:$G$89,Paramétrage!$D$6,Enseignements!$AC$9:$AC$89,2)*Paramétrage!$G$6+SUMIFS(Enseignements!$V$9:$V$89,Enseignements!$G$9:$G$89,Paramétrage!$D$7,Enseignements!$AC$9:$AC$89,2)*Paramétrage!$G$7+SUMIFS(Enseignements!$V$9:$V$89,Enseignements!$G$9:$G$89,Paramétrage!$D$8,Enseignements!$AC$9:$AC$89,2)*Paramétrage!$G$8+SUMIFS(Enseignements!$V$9:$V$89,Enseignements!$G$9:$G$89,Paramétrage!$D$10,Enseignements!$AC$9:$AC$89,2)*Paramétrage!$G$10+SUMIFS(Enseignements!$V$9:$V$89,Enseignements!$G$9:$G$89,Paramétrage!$D$11,Enseignements!$AC$9:$AC$89,2)*Paramétrage!$G$11+SUMIFS(Enseignements!$V$9:$V$89,Enseignements!$G$9:$G$89,Paramétrage!$D$13,Enseignements!$AC$9:$AC$89,2)*Paramétrage!$G$13+SUMIFS(Enseignements!$V$9:$V$89,Enseignements!$G$9:$G$89,Paramétrage!$D$14,Enseignements!$AC$9:$AC$89,2)*Paramétrage!$G$14+SUMIFS(Enseignements!$V$9:$V$89,Enseignements!$G$9:$G$89,Paramétrage!$D$16,Enseignements!$AC$9:$AC$89,2)*Paramétrage!$G$16+SUMIFS(Enseignements!$V$9:$V$89,Enseignements!$G$9:$G$89,Paramétrage!$D$17,Enseignements!$AC$9:$AC$89,2)*Paramétrage!$G$17+SUMIFS(Enseignements!$V$9:$V$89,Enseignements!$G$9:$G$89,Paramétrage!$D$19,Enseignements!$AC$9:$AC$89,2)*Paramétrage!$G$19+SUMIFS(Enseignements!$V$9:$V$89,Enseignements!$G$9:$G$89,Paramétrage!$D$20,Enseignements!$AC$9:$AC$89,2)*Paramétrage!$G$20+SUMIFS(Enseignements!$V$9:$V$89,Enseignements!$G$9:$G$89,Paramétrage!$D$23,Enseignements!$AC$9:$AC$89,2)*Paramétrage!$G$23+SUMIFS(Enseignements!$V$9:$V$89,Enseignements!$G$9:$G$89,Paramétrage!$D$24,Enseignements!$AC$9:$AC$89,2)*Paramétrage!$G$24+SUMIFS(Enseignements!$V$9:$V$89,Enseignements!$G$9:$G$89,Paramétrage!$D$26,Enseignements!$AC$9:$AC$89,2)*Paramétrage!$G$26+SUMIFS(Enseignements!$V$9:$V$89,Enseignements!$G$9:$G$89,Paramétrage!$D$27,Enseignements!$AC$9:$AC$89,2)*Paramétrage!$G$27</f>
        <v>0</v>
      </c>
      <c r="F7" s="10">
        <f>SUMIFS(Enseignements!$V$9:$V$89,Enseignements!$G$9:$G$89,Paramétrage!$D$6,Enseignements!$AC$9:$AC$89,3)*Paramétrage!$G$6+SUMIFS(Enseignements!$V$9:$V$89,Enseignements!$G$9:$G$89,Paramétrage!$D$7,Enseignements!$AC$9:$AC$89,3)*Paramétrage!$G$7+SUMIFS(Enseignements!$V$9:$V$89,Enseignements!$G$9:$G$89,Paramétrage!$D$8,Enseignements!$AC$9:$AC$89,3)*Paramétrage!$G$8+SUMIFS(Enseignements!$V$9:$V$89,Enseignements!$G$9:$G$89,Paramétrage!$D$10,Enseignements!$AC$9:$AC$89,3)*Paramétrage!$G$10+SUMIFS(Enseignements!$V$9:$V$89,Enseignements!$G$9:$G$89,Paramétrage!$D$11,Enseignements!$AC$9:$AC$89,3)*Paramétrage!$G$11+SUMIFS(Enseignements!$V$9:$V$89,Enseignements!$G$9:$G$89,Paramétrage!$D$13,Enseignements!$AC$9:$AC$89,3)*Paramétrage!$G$13+SUMIFS(Enseignements!$V$9:$V$89,Enseignements!$G$9:$G$89,Paramétrage!$D$14,Enseignements!$AC$9:$AC$89,3)*Paramétrage!$G$14+SUMIFS(Enseignements!$V$9:$V$89,Enseignements!$G$9:$G$89,Paramétrage!$D$16,Enseignements!$AC$9:$AC$89,3)*Paramétrage!$G$16+SUMIFS(Enseignements!$V$9:$V$89,Enseignements!$G$9:$G$89,Paramétrage!$D$17,Enseignements!$AC$9:$AC$89,3)*Paramétrage!$G$17+SUMIFS(Enseignements!$V$9:$V$89,Enseignements!$G$9:$G$89,Paramétrage!$D$19,Enseignements!$AC$9:$AC$89,3)*Paramétrage!$G$19+SUMIFS(Enseignements!$V$9:$V$89,Enseignements!$G$9:$G$89,Paramétrage!$D$20,Enseignements!$AC$9:$AC$89,3)*Paramétrage!$G$20+SUMIFS(Enseignements!$V$9:$V$89,Enseignements!$G$9:$G$89,Paramétrage!$D$23,Enseignements!$AC$9:$AC$89,3)*Paramétrage!$G$23+SUMIFS(Enseignements!$V$9:$V$89,Enseignements!$G$9:$G$89,Paramétrage!$D$24,Enseignements!$AC$9:$AC$89,3)*Paramétrage!$G$24+SUMIFS(Enseignements!$V$9:$V$89,Enseignements!$G$9:$G$89,Paramétrage!$D$26,Enseignements!$AC$9:$AC$89,3)*Paramétrage!$G$26+SUMIFS(Enseignements!$V$9:$V$89,Enseignements!$G$9:$G$89,Paramétrage!$D$27,Enseignements!$AC$9:$AC$89,3)*Paramétrage!$G$27</f>
        <v>0</v>
      </c>
      <c r="G7">
        <f t="shared" ref="G7:G9" si="1">IF($D$2=0,0,D7+F7*($D$2-$D$3)/$D$2)</f>
        <v>0</v>
      </c>
      <c r="H7">
        <f t="shared" ref="H7:H9" si="2">IF($D$2=0,0,E7+F7*$D$3/$D$2)</f>
        <v>0</v>
      </c>
      <c r="I7">
        <f t="shared" si="0"/>
        <v>0</v>
      </c>
    </row>
    <row r="8" spans="2:9" ht="15.75" x14ac:dyDescent="0.2">
      <c r="B8" s="153" t="s">
        <v>6</v>
      </c>
      <c r="C8" s="403" t="s">
        <v>7</v>
      </c>
      <c r="D8" s="10">
        <f>SUMIFS(Enseignements!$W$9:$W$89,Enseignements!$G$9:$G$89,Paramétrage!$D$6,Enseignements!$AC$9:$AC$89,1)*Paramétrage!$G$6+SUMIFS(Enseignements!$W$9:$W$89,Enseignements!$G$9:$G$89,Paramétrage!$D$7,Enseignements!$AC$9:$AC$89,1)*Paramétrage!$G$7+SUMIFS(Enseignements!$W$9:$W$89,Enseignements!$G$9:$G$89,Paramétrage!$D$8,Enseignements!$AC$9:$AC$89,1)*Paramétrage!$G$8+SUMIFS(Enseignements!$W$9:$W$89,Enseignements!$G$9:$G$89,Paramétrage!$D$10,Enseignements!$AC$9:$AC$89,1)*Paramétrage!$G$10+SUMIFS(Enseignements!$W$9:$W$89,Enseignements!$G$9:$G$89,Paramétrage!$D$11,Enseignements!$AC$9:$AC$89,1)*Paramétrage!$G$11+SUMIFS(Enseignements!$W$9:$W$89,Enseignements!$G$9:$G$89,Paramétrage!$D$13,Enseignements!$AC$9:$AC$89,1)*Paramétrage!$G$13+SUMIFS(Enseignements!$W$9:$W$89,Enseignements!$G$9:$G$89,Paramétrage!$D$14,Enseignements!$AC$9:$AC$89,1)*Paramétrage!$G$14+SUMIFS(Enseignements!$W$9:$W$89,Enseignements!$G$9:$G$89,Paramétrage!$D$16,Enseignements!$AC$9:$AC$89,1)*Paramétrage!$G$16+SUMIFS(Enseignements!$W$9:$W$89,Enseignements!$G$9:$G$89,Paramétrage!$D$17,Enseignements!$AC$9:$AC$89,1)*Paramétrage!$G$17+SUMIFS(Enseignements!$W$9:$W$89,Enseignements!$G$9:$G$89,Paramétrage!$D$19,Enseignements!$AC$9:$AC$89,1)*Paramétrage!$G$19+SUMIFS(Enseignements!$W$9:$W$89,Enseignements!$G$9:$G$89,Paramétrage!$D$20,Enseignements!$AC$9:$AC$89,1)*Paramétrage!$G$20+SUMIFS(Enseignements!$W$9:$W$89,Enseignements!$G$9:$G$89,Paramétrage!$D$23,Enseignements!$AC$9:$AC$89,1)*Paramétrage!$G$23+SUMIFS(Enseignements!$W$9:$W$89,Enseignements!$G$9:$G$89,Paramétrage!$D$24,Enseignements!$AC$9:$AC$89,1)*Paramétrage!$G$24+SUMIFS(Enseignements!$W$9:$W$89,Enseignements!$G$9:$G$89,Paramétrage!$D$26,Enseignements!$AC$9:$AC$89,1)*Paramétrage!$G$26+SUMIFS(Enseignements!$W$9:$W$89,Enseignements!$G$9:$G$89,Paramétrage!$D$27,Enseignements!$AC$9:$AC$89,1)*Paramétrage!$G$27</f>
        <v>0</v>
      </c>
      <c r="E8" s="10">
        <f>SUMIFS(Enseignements!$W$9:$W$89,Enseignements!$G$9:$G$89,Paramétrage!$D$6,Enseignements!$AC$9:$AC$89,2)*Paramétrage!$G$6+SUMIFS(Enseignements!$W$9:$W$89,Enseignements!$G$9:$G$89,Paramétrage!$D$7,Enseignements!$AC$9:$AC$89,2)*Paramétrage!$G$7+SUMIFS(Enseignements!$W$9:$W$89,Enseignements!$G$9:$G$89,Paramétrage!$D$8,Enseignements!$AC$9:$AC$89,2)*Paramétrage!$G$8+SUMIFS(Enseignements!$W$9:$W$89,Enseignements!$G$9:$G$89,Paramétrage!$D$10,Enseignements!$AC$9:$AC$89,2)*Paramétrage!$G$10+SUMIFS(Enseignements!$W$9:$W$89,Enseignements!$G$9:$G$89,Paramétrage!$D$11,Enseignements!$AC$9:$AC$89,2)*Paramétrage!$G$11+SUMIFS(Enseignements!$W$9:$W$89,Enseignements!$G$9:$G$89,Paramétrage!$D$13,Enseignements!$AC$9:$AC$89,2)*Paramétrage!$G$13+SUMIFS(Enseignements!$W$9:$W$89,Enseignements!$G$9:$G$89,Paramétrage!$D$14,Enseignements!$AC$9:$AC$89,2)*Paramétrage!$G$14+SUMIFS(Enseignements!$W$9:$W$89,Enseignements!$G$9:$G$89,Paramétrage!$D$16,Enseignements!$AC$9:$AC$89,2)*Paramétrage!$G$16+SUMIFS(Enseignements!$W$9:$W$89,Enseignements!$G$9:$G$89,Paramétrage!$D$17,Enseignements!$AC$9:$AC$89,2)*Paramétrage!$G$17+SUMIFS(Enseignements!$W$9:$W$89,Enseignements!$G$9:$G$89,Paramétrage!$D$19,Enseignements!$AC$9:$AC$89,2)*Paramétrage!$G$19+SUMIFS(Enseignements!$W$9:$W$89,Enseignements!$G$9:$G$89,Paramétrage!$D$20,Enseignements!$AC$9:$AC$89,2)*Paramétrage!$G$20+SUMIFS(Enseignements!$W$9:$W$89,Enseignements!$G$9:$G$89,Paramétrage!$D$23,Enseignements!$AC$9:$AC$89,2)*Paramétrage!$G$23+SUMIFS(Enseignements!$W$9:$W$89,Enseignements!$G$9:$G$89,Paramétrage!$D$24,Enseignements!$AC$9:$AC$89,2)*Paramétrage!$G$24+SUMIFS(Enseignements!$W$9:$W$89,Enseignements!$G$9:$G$89,Paramétrage!$D$26,Enseignements!$AC$9:$AC$89,2)*Paramétrage!$G$26+SUMIFS(Enseignements!$W$9:$W$89,Enseignements!$G$9:$G$89,Paramétrage!$D$27,Enseignements!$AC$9:$AC$89,2)*Paramétrage!$G$27</f>
        <v>228</v>
      </c>
      <c r="F8" s="10">
        <f>SUMIFS(Enseignements!$W$9:$W$89,Enseignements!$G$9:$G$89,Paramétrage!$D$6,Enseignements!$AC$9:$AC$89,3)*Paramétrage!$G$6+SUMIFS(Enseignements!$W$9:$W$89,Enseignements!$G$9:$G$89,Paramétrage!$D$7,Enseignements!$AC$9:$AC$89,3)*Paramétrage!$G$7+SUMIFS(Enseignements!$W$9:$W$89,Enseignements!$G$9:$G$89,Paramétrage!$D$8,Enseignements!$AC$9:$AC$89,3)*Paramétrage!$G$8+SUMIFS(Enseignements!$W$9:$W$89,Enseignements!$G$9:$G$89,Paramétrage!$D$10,Enseignements!$AC$9:$AC$89,3)*Paramétrage!$G$10+SUMIFS(Enseignements!$W$9:$W$89,Enseignements!$G$9:$G$89,Paramétrage!$D$11,Enseignements!$AC$9:$AC$89,3)*Paramétrage!$G$11+SUMIFS(Enseignements!$W$9:$W$89,Enseignements!$G$9:$G$89,Paramétrage!$D$13,Enseignements!$AC$9:$AC$89,3)*Paramétrage!$G$13+SUMIFS(Enseignements!$W$9:$W$89,Enseignements!$G$9:$G$89,Paramétrage!$D$14,Enseignements!$AC$9:$AC$89,3)*Paramétrage!$G$14+SUMIFS(Enseignements!$W$9:$W$89,Enseignements!$G$9:$G$89,Paramétrage!$D$16,Enseignements!$AC$9:$AC$89,3)*Paramétrage!$G$16+SUMIFS(Enseignements!$W$9:$W$89,Enseignements!$G$9:$G$89,Paramétrage!$D$17,Enseignements!$AC$9:$AC$89,3)*Paramétrage!$G$17+SUMIFS(Enseignements!$W$9:$W$89,Enseignements!$G$9:$G$89,Paramétrage!$D$19,Enseignements!$AC$9:$AC$89,3)*Paramétrage!$G$19+SUMIFS(Enseignements!$W$9:$W$89,Enseignements!$G$9:$G$89,Paramétrage!$D$20,Enseignements!$AC$9:$AC$89,3)*Paramétrage!$G$20+SUMIFS(Enseignements!$W$9:$W$89,Enseignements!$G$9:$G$89,Paramétrage!$D$23,Enseignements!$AC$9:$AC$89,3)*Paramétrage!$G$23+SUMIFS(Enseignements!$W$9:$W$89,Enseignements!$G$9:$G$89,Paramétrage!$D$24,Enseignements!$AC$9:$AC$89,3)*Paramétrage!$G$24+SUMIFS(Enseignements!$W$9:$W$89,Enseignements!$G$9:$G$89,Paramétrage!$D$26,Enseignements!$AC$9:$AC$89,3)*Paramétrage!$G$26+SUMIFS(Enseignements!$W$9:$W$89,Enseignements!$G$9:$G$89,Paramétrage!$D$27,Enseignements!$AC$9:$AC$89,3)*Paramétrage!$G$27</f>
        <v>0</v>
      </c>
      <c r="G8">
        <f t="shared" si="1"/>
        <v>0</v>
      </c>
      <c r="H8">
        <f t="shared" si="2"/>
        <v>228</v>
      </c>
      <c r="I8">
        <f t="shared" si="0"/>
        <v>228</v>
      </c>
    </row>
    <row r="9" spans="2:9" ht="14.1" customHeight="1" x14ac:dyDescent="0.2">
      <c r="B9" s="153" t="s">
        <v>8</v>
      </c>
      <c r="C9" s="403" t="s">
        <v>9</v>
      </c>
      <c r="D9" s="10">
        <f>SUMIFS(Enseignements!$X$9:$X$89,Enseignements!$G$9:$G$89,Paramétrage!$D$6,Enseignements!$AC$9:$AC$89,1)*Paramétrage!$G$6+SUMIFS(Enseignements!$X$9:$X$89,Enseignements!$G$9:$G$89,Paramétrage!$D$7,Enseignements!$AC$9:$AC$89,1)*Paramétrage!$G$7+SUMIFS(Enseignements!$X$9:$X$89,Enseignements!$G$9:$G$89,Paramétrage!$D$8,Enseignements!$AC$9:$AC$89,1)*Paramétrage!$G$8+SUMIFS(Enseignements!$X$9:$X$89,Enseignements!$G$9:$G$89,Paramétrage!$D$10,Enseignements!$AC$9:$AC$89,1)*Paramétrage!$G$10+SUMIFS(Enseignements!$X$9:$X$89,Enseignements!$G$9:$G$89,Paramétrage!$D$11,Enseignements!$AC$9:$AC$89,1)*Paramétrage!$G$11+SUMIFS(Enseignements!$X$9:$X$89,Enseignements!$G$9:$G$89,Paramétrage!$D$13,Enseignements!$AC$9:$AC$89,1)*Paramétrage!$G$13+SUMIFS(Enseignements!$X$9:$X$89,Enseignements!$G$9:$G$89,Paramétrage!$D$14,Enseignements!$AC$9:$AC$89,1)*Paramétrage!$G$14+SUMIFS(Enseignements!$X$9:$X$89,Enseignements!$G$9:$G$89,Paramétrage!$D$16,Enseignements!$AC$9:$AC$89,1)*Paramétrage!$G$16+SUMIFS(Enseignements!$X$9:$X$89,Enseignements!$G$9:$G$89,Paramétrage!$D$17,Enseignements!$AC$9:$AC$89,1)*Paramétrage!$G$17+SUMIFS(Enseignements!$X$9:$X$89,Enseignements!$G$9:$G$89,Paramétrage!$D$19,Enseignements!$AC$9:$AC$89,1)*Paramétrage!$G$19+SUMIFS(Enseignements!$X$9:$X$89,Enseignements!$G$9:$G$89,Paramétrage!$D$20,Enseignements!$AC$9:$AC$89,1)*Paramétrage!$G$20+SUMIFS(Enseignements!$X$9:$X$89,Enseignements!$G$9:$G$89,Paramétrage!$D$23,Enseignements!$AC$9:$AC$89,1)*Paramétrage!$G$23+SUMIFS(Enseignements!$X$9:$X$89,Enseignements!$G$9:$G$89,Paramétrage!$D$24,Enseignements!$AC$9:$AC$89,1)*Paramétrage!$G$24+SUMIFS(Enseignements!$X$9:$X$89,Enseignements!$G$9:$G$89,Paramétrage!$D$26,Enseignements!$AC$9:$AC$89,1)*Paramétrage!$G$26+SUMIFS(Enseignements!$X$9:$X$89,Enseignements!$G$9:$G$89,Paramétrage!$D$27,Enseignements!$AC$9:$AC$89,1)*Paramétrage!$G$27</f>
        <v>0</v>
      </c>
      <c r="E9" s="10">
        <f>SUMIFS(Enseignements!$X$9:$X$89,Enseignements!$G$9:$G$89,Paramétrage!$D$6,Enseignements!$AC$9:$AC$89,2)*Paramétrage!$G$6+SUMIFS(Enseignements!$X$9:$X$89,Enseignements!$G$9:$G$89,Paramétrage!$D$7,Enseignements!$AC$9:$AC$89,2)*Paramétrage!$G$7+SUMIFS(Enseignements!$X$9:$X$89,Enseignements!$G$9:$G$89,Paramétrage!$D$8,Enseignements!$AC$9:$AC$89,2)*Paramétrage!$G$8+SUMIFS(Enseignements!$X$9:$X$89,Enseignements!$G$9:$G$89,Paramétrage!$D$10,Enseignements!$AC$9:$AC$89,2)*Paramétrage!$G$10+SUMIFS(Enseignements!$X$9:$X$89,Enseignements!$G$9:$G$89,Paramétrage!$D$11,Enseignements!$AC$9:$AC$89,2)*Paramétrage!$G$11+SUMIFS(Enseignements!$X$9:$X$89,Enseignements!$G$9:$G$89,Paramétrage!$D$13,Enseignements!$AC$9:$AC$89,2)*Paramétrage!$G$13+SUMIFS(Enseignements!$X$9:$X$89,Enseignements!$G$9:$G$89,Paramétrage!$D$14,Enseignements!$AC$9:$AC$89,2)*Paramétrage!$G$14+SUMIFS(Enseignements!$X$9:$X$89,Enseignements!$G$9:$G$89,Paramétrage!$D$16,Enseignements!$AC$9:$AC$89,2)*Paramétrage!$G$16+SUMIFS(Enseignements!$X$9:$X$89,Enseignements!$G$9:$G$89,Paramétrage!$D$17,Enseignements!$AC$9:$AC$89,2)*Paramétrage!$G$17+SUMIFS(Enseignements!$X$9:$X$89,Enseignements!$G$9:$G$89,Paramétrage!$D$19,Enseignements!$AC$9:$AC$89,2)*Paramétrage!$G$19+SUMIFS(Enseignements!$X$9:$X$89,Enseignements!$G$9:$G$89,Paramétrage!$D$20,Enseignements!$AC$9:$AC$89,2)*Paramétrage!$G$20+SUMIFS(Enseignements!$X$9:$X$89,Enseignements!$G$9:$G$89,Paramétrage!$D$23,Enseignements!$AC$9:$AC$89,2)*Paramétrage!$G$23+SUMIFS(Enseignements!$X$9:$X$89,Enseignements!$G$9:$G$89,Paramétrage!$D$24,Enseignements!$AC$9:$AC$89,2)*Paramétrage!$G$24+SUMIFS(Enseignements!$X$9:$X$89,Enseignements!$G$9:$G$89,Paramétrage!$D$26,Enseignements!$AC$9:$AC$89,2)*Paramétrage!$G$26+SUMIFS(Enseignements!$X$9:$X$89,Enseignements!$G$9:$G$89,Paramétrage!$D$27,Enseignements!$AC$9:$AC$89,2)*Paramétrage!$G$27</f>
        <v>0</v>
      </c>
      <c r="F9" s="10">
        <f>SUMIFS(Enseignements!$X$9:$X$89,Enseignements!$G$9:$G$89,Paramétrage!$D$6,Enseignements!$AC$9:$AC$89,3)*Paramétrage!$G$6+SUMIFS(Enseignements!$X$9:$X$89,Enseignements!$G$9:$G$89,Paramétrage!$D$7,Enseignements!$AC$9:$AC$89,3)*Paramétrage!$G$7+SUMIFS(Enseignements!$X$9:$X$89,Enseignements!$G$9:$G$89,Paramétrage!$D$8,Enseignements!$AC$9:$AC$89,3)*Paramétrage!$G$8+SUMIFS(Enseignements!$X$9:$X$89,Enseignements!$G$9:$G$89,Paramétrage!$D$10,Enseignements!$AC$9:$AC$89,3)*Paramétrage!$G$10+SUMIFS(Enseignements!$X$9:$X$89,Enseignements!$G$9:$G$89,Paramétrage!$D$11,Enseignements!$AC$9:$AC$89,3)*Paramétrage!$G$11+SUMIFS(Enseignements!$X$9:$X$89,Enseignements!$G$9:$G$89,Paramétrage!$D$13,Enseignements!$AC$9:$AC$89,3)*Paramétrage!$G$13+SUMIFS(Enseignements!$X$9:$X$89,Enseignements!$G$9:$G$89,Paramétrage!$D$14,Enseignements!$AC$9:$AC$89,3)*Paramétrage!$G$14+SUMIFS(Enseignements!$X$9:$X$89,Enseignements!$G$9:$G$89,Paramétrage!$D$16,Enseignements!$AC$9:$AC$89,3)*Paramétrage!$G$16+SUMIFS(Enseignements!$X$9:$X$89,Enseignements!$G$9:$G$89,Paramétrage!$D$17,Enseignements!$AC$9:$AC$89,3)*Paramétrage!$G$17+SUMIFS(Enseignements!$X$9:$X$89,Enseignements!$G$9:$G$89,Paramétrage!$D$19,Enseignements!$AC$9:$AC$89,3)*Paramétrage!$G$19+SUMIFS(Enseignements!$X$9:$X$89,Enseignements!$G$9:$G$89,Paramétrage!$D$20,Enseignements!$AC$9:$AC$89,3)*Paramétrage!$G$20+SUMIFS(Enseignements!$X$9:$X$89,Enseignements!$G$9:$G$89,Paramétrage!$D$23,Enseignements!$AC$9:$AC$89,3)*Paramétrage!$G$23+SUMIFS(Enseignements!$X$9:$X$89,Enseignements!$G$9:$G$89,Paramétrage!$D$24,Enseignements!$AC$9:$AC$89,3)*Paramétrage!$G$24+SUMIFS(Enseignements!$X$9:$X$89,Enseignements!$G$9:$G$89,Paramétrage!$D$26,Enseignements!$AC$9:$AC$89,3)*Paramétrage!$G$26+SUMIFS(Enseignements!$X$9:$X$89,Enseignements!$G$9:$G$89,Paramétrage!$D$27,Enseignements!$AC$9:$AC$89,3)*Paramétrage!$G$27</f>
        <v>0</v>
      </c>
      <c r="G9">
        <f t="shared" si="1"/>
        <v>0</v>
      </c>
      <c r="H9">
        <f t="shared" si="2"/>
        <v>0</v>
      </c>
      <c r="I9">
        <f t="shared" si="0"/>
        <v>0</v>
      </c>
    </row>
    <row r="10" spans="2:9" ht="13.5" thickBot="1" x14ac:dyDescent="0.25">
      <c r="B10" s="404" t="s">
        <v>10</v>
      </c>
      <c r="C10" s="405"/>
    </row>
    <row r="11" spans="2:9" x14ac:dyDescent="0.2">
      <c r="B11" s="143" t="s">
        <v>11</v>
      </c>
      <c r="C11" s="144" t="s">
        <v>12</v>
      </c>
    </row>
    <row r="12" spans="2:9" x14ac:dyDescent="0.2">
      <c r="B12" s="153" t="s">
        <v>13</v>
      </c>
      <c r="C12" s="398" t="s">
        <v>14</v>
      </c>
      <c r="D12">
        <f>SUMIFS(Enseignements!$Y$9:$Y$89,Enseignements!$G$9:$G$89,Paramétrage!$D$15,Enseignements!$AC$9:$AC$89,1)*Paramétrage!$G$15</f>
        <v>0</v>
      </c>
      <c r="E12">
        <f>SUMIFS(Enseignements!$Y$9:$Y$89,Enseignements!$G$9:$G$89,Paramétrage!$D$15,Enseignements!$AC$9:$AC$89,2)*Paramétrage!$G$15</f>
        <v>78</v>
      </c>
      <c r="F12">
        <f>SUMIFS(Enseignements!$Y$9:$Y$89,Enseignements!$G$9:$G$89,Paramétrage!$D$15,Enseignements!$AC$9:$AC$89,3)*Paramétrage!$G$15</f>
        <v>0</v>
      </c>
      <c r="G12">
        <f t="shared" ref="G12:G17" si="3">IF($D$2=0,0,D12+F12*($D$2-$D$3)/$D$2)</f>
        <v>0</v>
      </c>
      <c r="H12">
        <f t="shared" ref="H12:H17" si="4">IF($D$2=0,0,E12+F12*$D$3/$D$2)</f>
        <v>78</v>
      </c>
      <c r="I12">
        <f t="shared" si="0"/>
        <v>78</v>
      </c>
    </row>
    <row r="13" spans="2:9" ht="14.1" customHeight="1" x14ac:dyDescent="0.2">
      <c r="B13" s="153" t="s">
        <v>15</v>
      </c>
      <c r="C13" s="403" t="s">
        <v>16</v>
      </c>
      <c r="D13">
        <f>SUMIFS(Enseignements!$Y$9:$Y$89,Enseignements!$G$9:$G$89,Paramétrage!$D$18,Enseignements!$AC$9:$AC$89,1)*Paramétrage!$G$18</f>
        <v>0</v>
      </c>
      <c r="E13">
        <f>SUMIFS(Enseignements!$Y$9:$Y$89,Enseignements!$G$9:$G$89,Paramétrage!$D$18,Enseignements!$AC$9:$AC$89,2)*Paramétrage!$G$18</f>
        <v>24</v>
      </c>
      <c r="F13">
        <f>SUMIFS(Enseignements!$Y$9:$Y$89,Enseignements!$G$9:$G$89,Paramétrage!$D$18,Enseignements!$AC$9:$AC$89,3)*Paramétrage!$G$18</f>
        <v>0</v>
      </c>
      <c r="G13">
        <f t="shared" si="3"/>
        <v>0</v>
      </c>
      <c r="H13">
        <f t="shared" si="4"/>
        <v>24</v>
      </c>
      <c r="I13">
        <f t="shared" si="0"/>
        <v>24</v>
      </c>
    </row>
    <row r="14" spans="2:9" ht="14.1" customHeight="1" x14ac:dyDescent="0.2">
      <c r="B14" s="153" t="s">
        <v>17</v>
      </c>
      <c r="C14" s="403" t="s">
        <v>18</v>
      </c>
      <c r="D14">
        <f>SUMIFS(Enseignements!$Y$9:$Y$89,Enseignements!$G$9:$G$89,Paramétrage!$D$9,Enseignements!$AC$9:$AC$89,1)*Paramétrage!$G$9</f>
        <v>0</v>
      </c>
      <c r="E14">
        <f>SUMIFS(Enseignements!$Y$9:$Y$89,Enseignements!$G$9:$G$89,Paramétrage!$D$9,Enseignements!$AC$9:$AC$89,2)*Paramétrage!$G$9</f>
        <v>0</v>
      </c>
      <c r="F14">
        <f>SUMIFS(Enseignements!$Y$9:$Y$89,Enseignements!$G$9:$G$89,Paramétrage!$D$9,Enseignements!$AC$9:$AC$89,3)*Paramétrage!$G$9</f>
        <v>0</v>
      </c>
      <c r="G14">
        <f t="shared" si="3"/>
        <v>0</v>
      </c>
      <c r="H14">
        <f t="shared" si="4"/>
        <v>0</v>
      </c>
      <c r="I14">
        <f t="shared" si="0"/>
        <v>0</v>
      </c>
    </row>
    <row r="15" spans="2:9" ht="14.1" customHeight="1" x14ac:dyDescent="0.2">
      <c r="B15" s="153" t="s">
        <v>19</v>
      </c>
      <c r="C15" s="403" t="s">
        <v>20</v>
      </c>
      <c r="D15">
        <f>SUMIFS(Enseignements!$Y$9:$Y$89,Enseignements!$G$9:$G$89,Paramétrage!$D$12,Enseignements!$AC$9:$AC$89,1)*Paramétrage!$G$12</f>
        <v>0</v>
      </c>
      <c r="E15">
        <f>SUMIFS(Enseignements!$Y$9:$Y$89,Enseignements!$G$9:$G$89,Paramétrage!$D$12,Enseignements!$AC$9:$AC$89,2)*Paramétrage!$G$12</f>
        <v>0</v>
      </c>
      <c r="F15">
        <f>SUMIFS(Enseignements!$Y$9:$Y$89,Enseignements!$G$9:$G$89,Paramétrage!$D$12,Enseignements!$AC$9:$AC$89,3)*Paramétrage!$G$12</f>
        <v>0</v>
      </c>
      <c r="G15">
        <f t="shared" si="3"/>
        <v>0</v>
      </c>
      <c r="H15">
        <f t="shared" si="4"/>
        <v>0</v>
      </c>
      <c r="I15">
        <f t="shared" si="0"/>
        <v>0</v>
      </c>
    </row>
    <row r="16" spans="2:9" ht="14.1" customHeight="1" x14ac:dyDescent="0.2">
      <c r="B16" s="153" t="s">
        <v>21</v>
      </c>
      <c r="C16" s="403" t="s">
        <v>22</v>
      </c>
      <c r="D16">
        <f>SUMIFS(Enseignements!$Y$9:$Y$89,Enseignements!$G$9:$G$89,Paramétrage!$D$22,Enseignements!$AC$9:$AC$89,1)*Paramétrage!$G$22+SUMIFS(Enseignements!$Y$9:$Y$89,Enseignements!$G$9:$G$89,Paramétrage!$D$25,Enseignements!$AC$9:$AC$89,1)*Paramétrage!$G$25</f>
        <v>0</v>
      </c>
      <c r="E16">
        <f>SUMIFS(Enseignements!$Y$9:$Y$89,Enseignements!$G$9:$G$89,Paramétrage!$D$22,Enseignements!$AC$9:$AC$89,2)*Paramétrage!$G$22+SUMIFS(Enseignements!$Y$9:$Y$89,Enseignements!$G$9:$G$89,Paramétrage!$D$25,Enseignements!$AC$9:$AC$89,2)*Paramétrage!$G$25</f>
        <v>0</v>
      </c>
      <c r="F16">
        <f>SUMIFS(Enseignements!$Y$9:$Y$89,Enseignements!$G$9:$G$89,Paramétrage!$D$22,Enseignements!$AC$9:$AC$89,3)*Paramétrage!$G$22+SUMIFS(Enseignements!$Y$9:$Y$89,Enseignements!$G$9:$G$89,Paramétrage!$D$25,Enseignements!$AC$9:$AC$89,3)*Paramétrage!$G$25</f>
        <v>0</v>
      </c>
      <c r="G16">
        <f t="shared" si="3"/>
        <v>0</v>
      </c>
      <c r="H16">
        <f t="shared" si="4"/>
        <v>0</v>
      </c>
      <c r="I16">
        <f t="shared" si="0"/>
        <v>0</v>
      </c>
    </row>
    <row r="17" spans="4:9" x14ac:dyDescent="0.2">
      <c r="D17">
        <f>SUM(D6:D16)</f>
        <v>0</v>
      </c>
      <c r="E17">
        <f t="shared" ref="E17:F17" si="5">SUM(E6:E16)</f>
        <v>494</v>
      </c>
      <c r="F17">
        <f t="shared" si="5"/>
        <v>0</v>
      </c>
      <c r="G17">
        <f t="shared" si="3"/>
        <v>0</v>
      </c>
      <c r="H17">
        <f t="shared" si="4"/>
        <v>494</v>
      </c>
      <c r="I17">
        <f>G17+H17</f>
        <v>494</v>
      </c>
    </row>
  </sheetData>
  <sheetProtection algorithmName="SHA-512" hashValue="rajLcPIiOlmARHT98bS6d7L+nR3UCvlzcN5s0FsJkGAml5dSO3FmZkPhbt3G+5IcQhiT6X6D88x0Zu1N3Eo16A==" saltValue="+0I7OPPtnslVlqDMHQF7og==" spinCount="100000" sheet="1" objects="1" scenarios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92"/>
  <sheetViews>
    <sheetView tabSelected="1" zoomScaleNormal="70" workbookViewId="0">
      <pane xSplit="3" ySplit="8" topLeftCell="L48" activePane="bottomRight" state="frozen"/>
      <selection pane="topRight" activeCell="D1" sqref="D1"/>
      <selection pane="bottomLeft" activeCell="A7" sqref="A7"/>
      <selection pane="bottomRight" activeCell="X60" sqref="X60"/>
    </sheetView>
  </sheetViews>
  <sheetFormatPr baseColWidth="10" defaultColWidth="11.42578125" defaultRowHeight="15.75" outlineLevelCol="1" x14ac:dyDescent="0.2"/>
  <cols>
    <col min="1" max="1" width="11.42578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0.85546875" style="10" hidden="1" customWidth="1" outlineLevel="1"/>
    <col min="30" max="30" width="11.28515625" style="10" hidden="1" customWidth="1" outlineLevel="1"/>
    <col min="31" max="31" width="10.85546875" style="10" hidden="1" customWidth="1" outlineLevel="1"/>
    <col min="32" max="32" width="11.42578125" style="10" collapsed="1"/>
    <col min="33" max="16384" width="11.42578125" style="10"/>
  </cols>
  <sheetData>
    <row r="1" spans="1:31" ht="6" customHeight="1" x14ac:dyDescent="0.2"/>
    <row r="2" spans="1:31" ht="31.5" x14ac:dyDescent="0.2">
      <c r="A2" s="10"/>
      <c r="H2" s="379" t="s">
        <v>23</v>
      </c>
      <c r="I2" s="377" t="s">
        <v>24</v>
      </c>
      <c r="J2" s="378" t="s">
        <v>25</v>
      </c>
      <c r="K2" s="377" t="s">
        <v>26</v>
      </c>
      <c r="L2" s="377" t="s">
        <v>27</v>
      </c>
      <c r="M2" s="385"/>
      <c r="O2" s="385"/>
    </row>
    <row r="3" spans="1:31" ht="18" customHeight="1" x14ac:dyDescent="0.2">
      <c r="A3" s="10"/>
      <c r="G3" s="25" t="s">
        <v>28</v>
      </c>
      <c r="H3" s="376">
        <f>SUM(I3:L3)</f>
        <v>0</v>
      </c>
      <c r="I3" s="381">
        <f>SUMIFS($AD$9:$AD$89,$G$9:$G$89,Paramétrage!$D$6,Enseignements!$D$9:$D$89,"FI")+SUMIFS($AD$9:$AD$89,$G$9:$G$89,Paramétrage!$D$7,Enseignements!$D$9:$D$89,"FI")+SUMIFS($AD$9:$AD$89,$G$9:$G$89,Paramétrage!$D$8,Enseignements!$D$9:$D$89,"FI")+SUMIFS($AD$9:$AD$89,$G$9:$G$89,Paramétrage!$D$10,Enseignements!$D$9:$D$89,"FI")+SUMIFS($AD$9:$AD$89,$G$9:$G$89,Paramétrage!$D$11,Enseignements!$D$9:$D$89,"FI")+SUMIFS($AD$9:$AD$89,$G$9:$G$89,Paramétrage!$D$13,Enseignements!$D$9:$D$89,"FI")+SUMIFS($AD$9:$AD$89,$G$9:$G$89,Paramétrage!$D$14,Enseignements!$D$9:$D$89,"FI")+SUMIFS($AD$9:$AD$89,$G$9:$G$89,Paramétrage!$D$16,Enseignements!$D$9:$D$89,"FI")+SUMIFS($AD$9:$AD$89,$G$9:$G$89,Paramétrage!$D$17,Enseignements!$D$9:$D$89,"FI")+SUMIFS($AD$9:$AD$89,$G$9:$G$89,Paramétrage!$D$19,Enseignements!$D$9:$D$89,"FI")+SUMIFS($AD$9:$AD$89,$G$9:$G$89,Paramétrage!$D$20,Enseignements!$D$9:$D$89,"FI")+SUMIFS($AD$9:$AD$89,$G$9:$G$89,Paramétrage!$D$23,Enseignements!$D$9:$D$89,"FI")+SUMIFS($AD$9:$AD$89,$G$9:$G$89,Paramétrage!$D$24,Enseignements!$D$9:$D$89,"FI")+SUMIFS($AD$9:$AD$89,$G$9:$G$89,Paramétrage!$D$26,Enseignements!$D$9:$D$89,"FI")+SUMIFS($AD$9:$AD$89,$G$9:$G$89,Paramétrage!$D$27,Enseignements!$D$9:$D$89,"FI")+SUMIFS($AD$9:$AD$89,$G$9:$G$89,Paramétrage!$D$6,Enseignements!$D$9:$D$89,"FI/FC")+SUMIFS($AD$9:$AD$89,$G$9:$G$89,Paramétrage!$D$7,Enseignements!$D$9:$D$89,"FI/FC")+SUMIFS($AD$9:$AD$89,$G$9:$G$89,Paramétrage!$D$8,Enseignements!$D$9:$D$89,"FI/FC")+SUMIFS($AD$9:$AD$89,$G$9:$G$89,Paramétrage!$D$10,Enseignements!$D$9:$D$89,"FI/FC")+SUMIFS($AD$9:$AD$89,$G$9:$G$89,Paramétrage!$D$11,Enseignements!$D$9:$D$89,"FI/FC")+SUMIFS($AD$9:$AD$89,$G$9:$G$89,Paramétrage!$D$13,Enseignements!$D$9:$D$89,"FI/FC")+SUMIFS($AD$9:$AD$89,$G$9:$G$89,Paramétrage!$D$14,Enseignements!$D$9:$D$89,"FI/FC")+SUMIFS($AD$9:$AD$89,$G$9:$G$89,Paramétrage!$D$16,Enseignements!$D$9:$D$89,"FI/FC")+SUMIFS($AD$9:$AD$89,$G$9:$G$89,Paramétrage!$D$17,Enseignements!$D$9:$D$89,"FI/FC")+SUMIFS($AD$9:$AD$89,$G$9:$G$89,Paramétrage!$D$19,Enseignements!$D$9:$D$89,"FI/FC")+SUMIFS($AD$9:$AD$89,$G$9:$G$89,Paramétrage!$D$20,Enseignements!$D$9:$D$89,"FI/FC")+SUMIFS($AD$9:$AD$89,$G$9:$G$89,Paramétrage!$D$23,Enseignements!$D$9:$D$89,"FI/FC")+SUMIFS($AD$9:$AD$89,$G$9:$G$89,Paramétrage!$D$24,Enseignements!$D$9:$D$89,"FI/FC")+SUMIFS($AD$9:$AD$89,$G$9:$G$89,Paramétrage!$D$26,Enseignements!$D$9:$D$89,"FI/FC")+SUMIFS($AD$9:$AD$89,$G$9:$G$89,Paramétrage!$D$27,Enseignements!$D$9:$D$89,"FI/FC")+SUMIFS($AD$9:$AD$89,$G$9:$G$89,Paramétrage!$D$6,Enseignements!$D$9:$D$89,"FI/ALT")+SUMIFS($AD$9:$AD$89,$G$9:$G$89,Paramétrage!$D$7,Enseignements!$D$9:$D$89,"FI/ALT")+SUMIFS($AD$9:$AD$89,$G$9:$G$89,Paramétrage!$D$8,Enseignements!$D$9:$D$89,"FI/ALT")+SUMIFS($AD$9:$AD$89,$G$9:$G$89,Paramétrage!$D$10,Enseignements!$D$9:$D$89,"FI/ALT")+SUMIFS($AD$9:$AD$89,$G$9:$G$89,Paramétrage!$D$11,Enseignements!$D$9:$D$89,"FI/ALT")+SUMIFS($AD$9:$AD$89,$G$9:$G$89,Paramétrage!$D$13,Enseignements!$D$9:$D$89,"FI/ALT")+SUMIFS($AD$9:$AD$89,$G$9:$G$89,Paramétrage!$D$14,Enseignements!$D$9:$D$89,"FI/ALT")+SUMIFS($AD$9:$AD$89,$G$9:$G$89,Paramétrage!$D$16,Enseignements!$D$9:$D$89,"FI/ALT")+SUMIFS($AD$9:$AD$89,$G$9:$G$89,Paramétrage!$D$17,Enseignements!$D$9:$D$89,"FI/ALT")+SUMIFS($AD$9:$AD$89,$G$9:$G$89,Paramétrage!$D$19,Enseignements!$D$9:$D$89,"FI/ALT")+SUMIFS($AD$9:$AD$89,$G$9:$G$89,Paramétrage!$D$20,Enseignements!$D$9:$D$89,"FI/ALT")+SUMIFS($AD$9:$AD$89,$G$9:$G$89,Paramétrage!$D$23,Enseignements!$D$9:$D$89,"FI/ALT")+SUMIFS($AD$9:$AD$89,$G$9:$G$89,Paramétrage!$D$24,Enseignements!$D$9:$D$89,"FI/ALT")+SUMIFS($AD$9:$AD$89,$G$9:$G$89,Paramétrage!$D$26,Enseignements!$D$9:$D$89,"FI/ALT")+SUMIFS($AD$9:$AD$89,$G$9:$G$89,Paramétrage!$D$27,Enseignements!$D$9:$D$89,"FI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0</v>
      </c>
      <c r="J3" s="381">
        <f>SUMIFS($AD$9:$AD$89,$G$9:$G$89,Paramétrage!$D$9,Enseignements!$D$9:$D$89,"FI")+SUMIFS($AD$9:$AD$89,$G$9:$G$89,Paramétrage!$D$9,Enseignements!$D$9:$D$89,"FI/FC")+SUMIFS($AD$9:$AD$89,$G$9:$G$89,Paramétrage!$D$9,Enseignements!$D$9:$D$89,"FI/ALT")+SUMIFS($AD$9:$AD$89,$G$9:$G$89,Paramétrage!$D$9,Enseignements!$D$9:$D$89,"FI/FC/ALT")</f>
        <v>0</v>
      </c>
      <c r="K3" s="381">
        <f>SUMIFS($AD$9:$AD$89,$G$9:$G$89,Paramétrage!$D$15,Enseignements!$D$9:$D$89,"FI")+SUMIFS($AD$9:$AD$89,$G$9:$G$89,Paramétrage!$D$15,Enseignements!$D$9:$D$89,"FI/FC")+SUMIFS($AD$9:$AD$89,$G$9:$G$89,Paramétrage!$D$15,Enseignements!$D$9:$D$89,"FI/ALT")+SUMIFS($AD$9:$AD$89,$G$9:$G$89,Paramétrage!$D$15,Enseignements!$D$9:$D$89,"FI/FC/ALT")</f>
        <v>0</v>
      </c>
      <c r="L3" s="381">
        <f>SUMIFS($AD$9:$AD$89,$G$9:$G$89,Paramétrage!$D$18,Enseignements!$D$9:$D$89,"FI")+SUMIFS($AD$9:$AD$89,$G$9:$G$89,Paramétrage!$D$18,Enseignements!$D$9:$D$89,"FI/FC")+SUMIFS($AD$9:$AD$89,$G$9:$G$89,Paramétrage!$D$18,Enseignements!$D$9:$D$89,"FI/ALT")+SUMIFS($AD$9:$AD$89,$G$9:$G$89,Paramétrage!$D$18,Enseignements!$D$9:$D$89,"FI/FC/ALT")+SUMIFS($AD$9:$AD$89,$G$9:$G$89,Paramétrage!$D$21,Enseignements!$D$9:$D$89,"FI")+SUMIFS($AD$9:$AD$89,$G$9:$G$89,Paramétrage!$D$21,Enseignements!$D$9:$D$89,"FI/FC")+SUMIFS($AD$9:$AD$89,$G$9:$G$89,Paramétrage!$D$21,Enseignements!$D$9:$D$89,"FI/ALT")+SUMIFS($AD$9:$AD$89,$G$9:$G$89,Paramétrage!$D$21,Enseignements!$D$9:$D$89,"FI/FC/ALT")+SUMIFS($AD$9:$AD$89,$G$9:$G$89,Paramétrage!$D$25,Enseignements!$D$9:$D$89,"FI")+SUMIFS($AD$9:$AD$89,$G$9:$G$89,Paramétrage!$D$25,Enseignements!$D$9:$D$89,"FI/FC")+SUMIFS($AD$9:$AD$89,$G$9:$G$89,Paramétrage!$D$25,Enseignements!$D$9:$D$89,"FI/ALT")+SUMIFS($AD$9:$AD$89,$G$9:$G$89,Paramétrage!$D$25,Enseignements!$D$9:$D$89,"FI/FC/ALT")</f>
        <v>0</v>
      </c>
      <c r="M3" s="385"/>
    </row>
    <row r="4" spans="1:31" ht="18" customHeight="1" x14ac:dyDescent="0.2">
      <c r="A4" s="10"/>
      <c r="G4" s="25" t="s">
        <v>29</v>
      </c>
      <c r="H4" s="376">
        <f>SUM(I4:L4)</f>
        <v>0</v>
      </c>
      <c r="I4" s="381">
        <f>SUMIFS($AD$9:$AD$89,$G$9:$G$89,Paramétrage!$D$6,Enseignements!$D$9:$D$89,"FC")+SUMIFS($AD$9:$AD$89,$G$9:$G$89,Paramétrage!$D$7,Enseignements!$D$9:$D$89,"FC")+SUMIFS($AD$9:$AD$89,$G$9:$G$89,Paramétrage!$D$8,Enseignements!$D$9:$D$89,"FC")+SUMIFS($AD$9:$AD$89,$G$9:$G$89,Paramétrage!$D$10,Enseignements!$D$9:$D$89,"FC")+SUMIFS($AD$9:$AD$89,$G$9:$G$89,Paramétrage!$D$11,Enseignements!$D$9:$D$89,"FC")+SUMIFS($AD$9:$AD$89,$G$9:$G$89,Paramétrage!$D$13,Enseignements!$D$9:$D$89,"FC")+SUMIFS($AD$9:$AD$89,$G$9:$G$89,Paramétrage!$D$14,Enseignements!$D$9:$D$89,"FC")+SUMIFS($AD$9:$AD$89,$G$9:$G$89,Paramétrage!$D$16,Enseignements!$D$9:$D$89,"FC")+SUMIFS($AD$9:$AD$89,$G$9:$G$89,Paramétrage!$D$17,Enseignements!$D$9:$D$89,"FC")+SUMIFS($AD$9:$AD$89,$G$9:$G$89,Paramétrage!$D$19,Enseignements!$D$9:$D$89,"FC")+SUMIFS($AD$9:$AD$89,$G$9:$G$89,Paramétrage!$D$20,Enseignements!$D$9:$D$89,"FC")+SUMIFS($AD$9:$AD$89,$G$9:$G$89,Paramétrage!$D$23,Enseignements!$D$9:$D$89,"FC")+SUMIFS($AD$9:$AD$89,$G$9:$G$89,Paramétrage!$D$24,Enseignements!$D$9:$D$89,"FC")+SUMIFS($AD$9:$AD$89,$G$9:$G$89,Paramétrage!$D$26,Enseignements!$D$9:$D$89,"FC")+SUMIFS($AD$9:$AD$89,$G$9:$G$89,Paramétrage!$D$27,Enseignements!$D$9:$D$89,"FC")+SUMIFS($AD$9:$AD$89,$G$9:$G$89,Paramétrage!$D$6,Enseignements!$D$9:$D$89,"FI/FC")+SUMIFS($AD$9:$AD$89,$G$9:$G$89,Paramétrage!$D$7,Enseignements!$D$9:$D$89,"FI/FC")+SUMIFS($AD$9:$AD$89,$G$9:$G$89,Paramétrage!$D$8,Enseignements!$D$9:$D$89,"FI/FC")+SUMIFS($AD$9:$AD$89,$G$9:$G$89,Paramétrage!$D$10,Enseignements!$D$9:$D$89,"FI/FC")+SUMIFS($AD$9:$AD$89,$G$9:$G$89,Paramétrage!$D$11,Enseignements!$D$9:$D$89,"FI/FC")+SUMIFS($AD$9:$AD$89,$G$9:$G$89,Paramétrage!$D$13,Enseignements!$D$9:$D$89,"FI/FC")+SUMIFS($AD$9:$AD$89,$G$9:$G$89,Paramétrage!$D$14,Enseignements!$D$9:$D$89,"FI/FC")+SUMIFS($AD$9:$AD$89,$G$9:$G$89,Paramétrage!$D$16,Enseignements!$D$9:$D$89,"FI/FC")+SUMIFS($AD$9:$AD$89,$G$9:$G$89,Paramétrage!$D$17,Enseignements!$D$9:$D$89,"FI/FC")+SUMIFS($AD$9:$AD$89,$G$9:$G$89,Paramétrage!$D$19,Enseignements!$D$9:$D$89,"FI/FC")+SUMIFS($AD$9:$AD$89,$G$9:$G$89,Paramétrage!$D$20,Enseignements!$D$9:$D$89,"FI/FC")+SUMIFS($AD$9:$AD$89,$G$9:$G$89,Paramétrage!$D$23,Enseignements!$D$9:$D$89,"FI/FC")+SUMIFS($AD$9:$AD$89,$G$9:$G$89,Paramétrage!$D$24,Enseignements!$D$9:$D$89,"FI/FC")+SUMIFS($AD$9:$AD$89,$G$9:$G$89,Paramétrage!$D$26,Enseignements!$D$9:$D$89,"FI/FC")+SUMIFS($AD$9:$AD$89,$G$9:$G$89,Paramétrage!$D$27,Enseignements!$D$9:$D$89,"FI/FC")+SUMIFS($AD$9:$AD$89,$G$9:$G$89,Paramétrage!$D$6,Enseignements!$D$9:$D$89,"FC/ALT")+SUMIFS($AD$9:$AD$89,$G$9:$G$89,Paramétrage!$D$7,Enseignements!$D$9:$D$89,"FC/ALT")+SUMIFS($AD$9:$AD$89,$G$9:$G$89,Paramétrage!$D$8,Enseignements!$D$9:$D$89,"FC/ALT")+SUMIFS($AD$9:$AD$89,$G$9:$G$89,Paramétrage!$D$10,Enseignements!$D$9:$D$89,"FC/ALT")+SUMIFS($AD$9:$AD$89,$G$9:$G$89,Paramétrage!$D$11,Enseignements!$D$9:$D$89,"FC/ALT")+SUMIFS($AD$9:$AD$89,$G$9:$G$89,Paramétrage!$D$13,Enseignements!$D$9:$D$89,"FC/ALT")+SUMIFS($AD$9:$AD$89,$G$9:$G$89,Paramétrage!$D$14,Enseignements!$D$9:$D$89,"FC/ALT")+SUMIFS($AD$9:$AD$89,$G$9:$G$89,Paramétrage!$D$16,Enseignements!$D$9:$D$89,"FC/ALT")+SUMIFS($AD$9:$AD$89,$G$9:$G$89,Paramétrage!$D$17,Enseignements!$D$9:$D$89,"FC/ALT")+SUMIFS($AD$9:$AD$89,$G$9:$G$89,Paramétrage!$D$19,Enseignements!$D$9:$D$89,"FC/ALT")+SUMIFS($AD$9:$AD$89,$G$9:$G$89,Paramétrage!$D$20,Enseignements!$D$9:$D$89,"FC/ALT")+SUMIFS($AD$9:$AD$89,$G$9:$G$89,Paramétrage!$D$23,Enseignements!$D$9:$D$89,"FC/ALT")+SUMIFS($AD$9:$AD$89,$G$9:$G$89,Paramétrage!$D$24,Enseignements!$D$9:$D$89,"FC/ALT")+SUMIFS($AD$9:$AD$89,$G$9:$G$89,Paramétrage!$D$26,Enseignements!$D$9:$D$89,"FC/ALT")+SUMIFS($AD$9:$AD$89,$G$9:$G$89,Paramétrage!$D$27,Enseignements!$D$9:$D$89,"FC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0</v>
      </c>
      <c r="J4" s="415">
        <f>SUMIFS($AD$9:$AD$89,$G$9:$G$89,Paramétrage!$D$9,Enseignements!$D$9:$D$89,"FC")+SUMIFS($AD$9:$AD$89,$G$9:$G$89,Paramétrage!$D$9,Enseignements!$D$9:$D$89,"FI/FC")+SUMIFS($AD$9:$AD$89,$G$9:$G$89,Paramétrage!$D$9,Enseignements!$D$9:$D$89,"FC/ALT")+SUMIFS($AD$9:$AD$89,$G$9:$G$89,Paramétrage!$D$9,Enseignements!$D$9:$D$89,"FI/FC/ALT")</f>
        <v>0</v>
      </c>
      <c r="K4" s="381">
        <f>SUMIFS($AD$9:$AD$89,$G$9:$G$89,Paramétrage!$D$15,Enseignements!$D$9:$D$89,"FC")+SUMIFS($AD$9:$AD$89,$G$9:$G$89,Paramétrage!$D$15,Enseignements!$D$9:$D$89,"FI/FC")+SUMIFS($AD$9:$AD$89,$G$9:$G$89,Paramétrage!$D$15,Enseignements!$D$9:$D$89,"FC/ALT")+SUMIFS($AD$9:$AD$89,$G$9:$G$89,Paramétrage!$D$15,Enseignements!$D$9:$D$89,"FI/FC/ALT")</f>
        <v>0</v>
      </c>
      <c r="L4" s="381">
        <f>SUMIFS($AD$9:$AD$89,$G$9:$G$89,Paramétrage!$D$18,Enseignements!$D$9:$D$89,"FC")+SUMIFS($AD$9:$AD$89,$G$9:$G$89,Paramétrage!$D$18,Enseignements!$D$9:$D$89,"FI/FC")+SUMIFS($AD$9:$AD$89,$G$9:$G$89,Paramétrage!$D$18,Enseignements!$D$9:$D$89,"FC/ALT")+SUMIFS($AD$9:$AD$89,$G$9:$G$89,Paramétrage!$D$18,Enseignements!$D$9:$D$89,"FI/FC/ALT")+SUMIFS($AD$9:$AD$89,$G$9:$G$89,Paramétrage!$D$21,Enseignements!$D$9:$D$89,"FC")+SUMIFS($AD$9:$AD$89,$G$9:$G$89,Paramétrage!$D$21,Enseignements!$D$9:$D$89,"FI/FC")+SUMIFS($AD$9:$AD$89,$G$9:$G$89,Paramétrage!$D$21,Enseignements!$D$9:$D$89,"FC/ALT")+SUMIFS($AD$9:$AD$89,$G$9:$G$89,Paramétrage!$D$21,Enseignements!$D$9:$D$89,"FI/FC/ALT")+SUMIFS($AD$9:$AD$89,$G$9:$G$89,Paramétrage!$D$25,Enseignements!$D$9:$D$89,"FC")+SUMIFS($AD$9:$AD$89,$G$9:$G$89,Paramétrage!$D$25,Enseignements!$D$9:$D$89,"FI/FC")+SUMIFS($AD$9:$AD$89,$G$9:$G$89,Paramétrage!$D$25,Enseignements!$D$9:$D$89,"FC/ALT")+SUMIFS($AD$9:$AD$89,$G$9:$G$89,Paramétrage!$D$25,Enseignements!$D$9:$D$89,"FI/FC/ALT")</f>
        <v>0</v>
      </c>
      <c r="M4" s="385"/>
    </row>
    <row r="5" spans="1:31" ht="18" customHeight="1" x14ac:dyDescent="0.2">
      <c r="A5" s="10"/>
      <c r="G5" s="25" t="s">
        <v>30</v>
      </c>
      <c r="H5" s="376">
        <f>SUM(I5:L5)</f>
        <v>402</v>
      </c>
      <c r="I5" s="381">
        <f>SUMIFS($AD$9:$AD$89,$G$9:$G$89,Paramétrage!$D$6,Enseignements!$D$9:$D$89,"ALT")+SUMIFS($AD$9:$AD$89,$G$9:$G$89,Paramétrage!$D$7,Enseignements!$D$9:$D$89,"ALT")+SUMIFS($AD$9:$AD$89,$G$9:$G$89,Paramétrage!$D$8,Enseignements!$D$9:$D$89,"ALT")+SUMIFS($AD$9:$AD$89,$G$9:$G$89,Paramétrage!$D$10,Enseignements!$D$9:$D$89,"ALT")+SUMIFS($AD$9:$AD$89,$G$9:$G$89,Paramétrage!$D$11,Enseignements!$D$9:$D$89,"ALT")+SUMIFS($AD$9:$AD$89,$G$9:$G$89,Paramétrage!$D$13,Enseignements!$D$9:$D$89,"ALT")+SUMIFS($AD$9:$AD$89,$G$9:$G$89,Paramétrage!$D$14,Enseignements!$D$9:$D$89,"ALT")+SUMIFS($AD$9:$AD$89,$G$9:$G$89,Paramétrage!$D$16,Enseignements!$D$9:$D$89,"ALT")+SUMIFS($AD$9:$AD$89,$G$9:$G$89,Paramétrage!$D$17,Enseignements!$D$9:$D$89,"ALT")+SUMIFS($AD$9:$AD$89,$G$9:$G$89,Paramétrage!$D$19,Enseignements!$D$9:$D$89,"ALT")+SUMIFS($AD$9:$AD$89,$G$9:$G$89,Paramétrage!$D$20,Enseignements!$D$9:$D$89,"ALT")+SUMIFS($AD$9:$AD$89,$G$9:$G$89,Paramétrage!$D$23,Enseignements!$D$9:$D$89,"ALT")+SUMIFS($AD$9:$AD$89,$G$9:$G$89,Paramétrage!$D$24,Enseignements!$D$9:$D$89,"ALT")+SUMIFS($AD$9:$AD$89,$G$9:$G$89,Paramétrage!$D$26,Enseignements!$D$9:$D$89,"ALT")+SUMIFS($AD$9:$AD$89,$G$9:$G$89,Paramétrage!$D$27,Enseignements!$D$9:$D$89,"ALT")+SUMIFS($AD$9:$AD$89,$G$9:$G$89,Paramétrage!$D$6,Enseignements!$D$9:$D$89,"FI/ALT")+SUMIFS($AD$9:$AD$89,$G$9:$G$89,Paramétrage!$D$7,Enseignements!$D$9:$D$89,"FI/ALT")+SUMIFS($AD$9:$AD$89,$G$9:$G$89,Paramétrage!$D$8,Enseignements!$D$9:$D$89,"FI/ALT")+SUMIFS($AD$9:$AD$89,$G$9:$G$89,Paramétrage!$D$10,Enseignements!$D$9:$D$89,"FI/ALT")+SUMIFS($AD$9:$AD$89,$G$9:$G$89,Paramétrage!$D$11,Enseignements!$D$9:$D$89,"FI/ALT")+SUMIFS($AD$9:$AD$89,$G$9:$G$89,Paramétrage!$D$13,Enseignements!$D$9:$D$89,"FI/ALT")+SUMIFS($AD$9:$AD$89,$G$9:$G$89,Paramétrage!$D$14,Enseignements!$D$9:$D$89,"FI/ALT")+SUMIFS($AD$9:$AD$89,$G$9:$G$89,Paramétrage!$D$16,Enseignements!$D$9:$D$89,"FI/ALT")+SUMIFS($AD$9:$AD$89,$G$9:$G$89,Paramétrage!$D$17,Enseignements!$D$9:$D$89,"FI/ALT")+SUMIFS($AD$9:$AD$89,$G$9:$G$89,Paramétrage!$D$19,Enseignements!$D$9:$D$89,"FI/ALT")+SUMIFS($AD$9:$AD$89,$G$9:$G$89,Paramétrage!$D$20,Enseignements!$D$9:$D$89,"FI/ALT")+SUMIFS($AD$9:$AD$89,$G$9:$G$89,Paramétrage!$D$23,Enseignements!$D$9:$D$89,"FI/ALT")+SUMIFS($AD$9:$AD$89,$G$9:$G$89,Paramétrage!$D$24,Enseignements!$D$9:$D$89,"FI/ALT")+SUMIFS($AD$9:$AD$89,$G$9:$G$89,Paramétrage!$D$26,Enseignements!$D$9:$D$89,"FI/ALT")+SUMIFS($AD$9:$AD$89,$G$9:$G$89,Paramétrage!$D$27,Enseignements!$D$9:$D$89,"FI/ALT")+SUMIFS($AD$9:$AD$89,$G$9:$G$89,Paramétrage!$D$6,Enseignements!$D$9:$D$89,"FC/ALT")+SUMIFS($AD$9:$AD$89,$G$9:$G$89,Paramétrage!$D$7,Enseignements!$D$9:$D$89,"FC/ALT")+SUMIFS($AD$9:$AD$89,$G$9:$G$89,Paramétrage!$D$8,Enseignements!$D$9:$D$89,"FC/ALT")+SUMIFS($AD$9:$AD$89,$G$9:$G$89,Paramétrage!$D$10,Enseignements!$D$9:$D$89,"FC/ALT")+SUMIFS($AD$9:$AD$89,$G$9:$G$89,Paramétrage!$D$11,Enseignements!$D$9:$D$89,"FC/ALT")+SUMIFS($AD$9:$AD$89,$G$9:$G$89,Paramétrage!$D$13,Enseignements!$D$9:$D$89,"FC/ALT")+SUMIFS($AD$9:$AD$89,$G$9:$G$89,Paramétrage!$D$14,Enseignements!$D$9:$D$89,"FC/ALT")+SUMIFS($AD$9:$AD$89,$G$9:$G$89,Paramétrage!$D$16,Enseignements!$D$9:$D$89,"FC/ALT")+SUMIFS($AD$9:$AD$89,$G$9:$G$89,Paramétrage!$D$17,Enseignements!$D$9:$D$89,"FC/ALT")+SUMIFS($AD$9:$AD$89,$G$9:$G$89,Paramétrage!$D$19,Enseignements!$D$9:$D$89,"FC/ALT")+SUMIFS($AD$9:$AD$89,$G$9:$G$89,Paramétrage!$D$20,Enseignements!$D$9:$D$89,"FC/ALT")+SUMIFS($AD$9:$AD$89,$G$9:$G$89,Paramétrage!$D$23,Enseignements!$D$9:$D$89,"FC/ALT")+SUMIFS($AD$9:$AD$89,$G$9:$G$89,Paramétrage!$D$24,Enseignements!$D$9:$D$89,"FC/ALT")+SUMIFS($AD$9:$AD$89,$G$9:$G$89,Paramétrage!$D$26,Enseignements!$D$9:$D$89,"FC/ALT")+SUMIFS($AD$9:$AD$89,$G$9:$G$89,Paramétrage!$D$27,Enseignements!$D$9:$D$89,"FC/ALT")+SUMIFS($AD$9:$AD$89,$G$9:$G$89,Paramétrage!$D$6,Enseignements!$D$9:$D$89,"FI/FC/ALT")+SUMIFS($AD$9:$AD$89,$G$9:$G$89,Paramétrage!$D$7,Enseignements!$D$9:$D$89,"FI/FC/ALT")+SUMIFS($AD$9:$AD$89,$G$9:$G$89,Paramétrage!$D$8,Enseignements!$D$9:$D$89,"FI/FC/ALT")+SUMIFS($AD$9:$AD$89,$G$9:$G$89,Paramétrage!$D$10,Enseignements!$D$9:$D$89,"FI/FC/ALT")+SUMIFS($AD$9:$AD$89,$G$9:$G$89,Paramétrage!$D$11,Enseignements!$D$9:$D$89,"FI/FC/ALT")+SUMIFS($AD$9:$AD$89,$G$9:$G$89,Paramétrage!$D$13,Enseignements!$D$9:$D$89,"FI/FC/ALT")+SUMIFS($AD$9:$AD$89,$G$9:$G$89,Paramétrage!$D$14,Enseignements!$D$9:$D$89,"FI/FC/ALT")+SUMIFS($AD$9:$AD$89,$G$9:$G$89,Paramétrage!$D$16,Enseignements!$D$9:$D$89,"FI/FC/ALT")+SUMIFS($AD$9:$AD$89,$G$9:$G$89,Paramétrage!$D$17,Enseignements!$D$9:$D$89,"FI/FC/ALT")+SUMIFS($AD$9:$AD$89,$G$9:$G$89,Paramétrage!$D$19,Enseignements!$D$9:$D$89,"FI/FC/ALT")+SUMIFS($AD$9:$AD$89,$G$9:$G$89,Paramétrage!$D$20,Enseignements!$D$9:$D$89,"FI/FC/ALT")+SUMIFS($AD$9:$AD$89,$G$9:$G$89,Paramétrage!$D$23,Enseignements!$D$9:$D$89,"FI/FC/ALT")+SUMIFS($AD$9:$AD$89,$G$9:$G$89,Paramétrage!$D$24,Enseignements!$D$9:$D$89,"FI/FC/ALT")+SUMIFS($AD$9:$AD$89,$G$9:$G$89,Paramétrage!$D$26,Enseignements!$D$9:$D$89,"FI/FC/ALT")+SUMIFS($AD$9:$AD$89,$G$9:$G$89,Paramétrage!$D$27,Enseignements!$D$9:$D$89,"FI/FC/ALT")</f>
        <v>342</v>
      </c>
      <c r="J5" s="381">
        <f>SUMIFS($AD$9:$AD$89,$G$9:$G$89,Paramétrage!$D$9,Enseignements!$D$9:$D$89,"ALT")+SUMIFS($AD$9:$AD$89,$G$9:$G$89,Paramétrage!$D$9,Enseignements!$D$9:$D$89,"FI/ALT")+SUMIFS($AD$9:$AD$89,$G$9:$G$89,Paramétrage!$D$9,Enseignements!$D$9:$D$89,"FC/ALT")+SUMIFS($AD$9:$AD$89,$G$9:$G$89,Paramétrage!$D$9,Enseignements!$D$9:$D$89,"FI/FC/ALT")</f>
        <v>0</v>
      </c>
      <c r="K5" s="381">
        <f>SUMIFS($AD$9:$AD$89,$G$9:$G$89,Paramétrage!$D$15,Enseignements!$D$9:$D$89,"ALT")+SUMIFS($AD$9:$AD$89,$G$9:$G$89,Paramétrage!$D$15,Enseignements!$D$9:$D$89,"FI/ALT")+SUMIFS($AD$9:$AD$89,$G$9:$G$89,Paramétrage!$D$15,Enseignements!$D$9:$D$89,"FC/ALT")+SUMIFS($AD$9:$AD$89,$G$9:$G$89,Paramétrage!$D$15,Enseignements!$D$9:$D$89,"FI/FC/ALT")</f>
        <v>60</v>
      </c>
      <c r="L5" s="381">
        <f>SUMIFS($AD$9:$AD$89,$G$9:$G$89,Paramétrage!$D$18,Enseignements!$D$9:$D$89,"ALT")+SUMIFS($AD$9:$AD$89,$G$9:$G$89,Paramétrage!$D$18,Enseignements!$D$9:$D$89,"FI/ALT")+SUMIFS($AD$9:$AD$89,$G$9:$G$89,Paramétrage!$D$18,Enseignements!$D$9:$D$89,"FC/ALT")+SUMIFS($AD$9:$AD$89,$G$9:$G$89,Paramétrage!$D$18,Enseignements!$D$9:$D$89,"FI/FC/ALT")+SUMIFS($AD$9:$AD$89,$G$9:$G$89,Paramétrage!$D$21,Enseignements!$D$9:$D$89,"ALT")+SUMIFS($AD$9:$AD$89,$G$9:$G$89,Paramétrage!$D$21,Enseignements!$D$9:$D$89,"FI/ALT")+SUMIFS($AD$9:$AD$89,$G$9:$G$89,Paramétrage!$D$21,Enseignements!$D$9:$D$89,"FC/ALT")+SUMIFS($AD$9:$AD$89,$G$9:$G$89,Paramétrage!$D$21,Enseignements!$D$9:$D$89,"FI/FC/ALT")+SUMIFS($AD$9:$AD$89,$G$9:$G$89,Paramétrage!$D$25,Enseignements!$D$9:$D$89,"ALT")+SUMIFS($AD$9:$AD$89,$G$9:$G$89,Paramétrage!$D$25,Enseignements!$D$9:$D$89,"FI/ALT")+SUMIFS($AD$9:$AD$89,$G$9:$G$89,Paramétrage!$D$25,Enseignements!$D$9:$D$89,"FC/ALT")+SUMIFS($AD$9:$AD$89,$G$9:$G$89,Paramétrage!$D$25,Enseignements!$D$9:$D$89,"FI/FC/ALT")</f>
        <v>0</v>
      </c>
      <c r="M5" s="385"/>
      <c r="W5" s="380"/>
    </row>
    <row r="6" spans="1:31" ht="6.6" customHeight="1" thickBot="1" x14ac:dyDescent="0.25">
      <c r="A6" s="10"/>
      <c r="B6" s="10"/>
      <c r="H6" s="406">
        <f>SUM(H3:H5)/(IF(H3&lt;&gt;0,1,0)+IF(H4&lt;&gt;0,1,0)+IF(H5&lt;&gt;0,1,0))</f>
        <v>402</v>
      </c>
    </row>
    <row r="7" spans="1:31" ht="68.45" customHeight="1" x14ac:dyDescent="0.25">
      <c r="A7" s="12"/>
      <c r="B7" s="457" t="s">
        <v>31</v>
      </c>
      <c r="C7" s="461" t="s">
        <v>32</v>
      </c>
      <c r="D7" s="461" t="s">
        <v>33</v>
      </c>
      <c r="E7" s="463" t="s">
        <v>34</v>
      </c>
      <c r="F7" s="461" t="s">
        <v>35</v>
      </c>
      <c r="G7" s="465" t="s">
        <v>36</v>
      </c>
      <c r="H7" s="465" t="s">
        <v>37</v>
      </c>
      <c r="I7" s="463" t="s">
        <v>38</v>
      </c>
      <c r="J7" s="467" t="s">
        <v>39</v>
      </c>
      <c r="K7" s="459" t="s">
        <v>40</v>
      </c>
      <c r="L7" s="452" t="s">
        <v>41</v>
      </c>
      <c r="M7" s="452"/>
      <c r="N7" s="452"/>
      <c r="O7" s="453"/>
      <c r="P7" s="42" t="s">
        <v>42</v>
      </c>
      <c r="Q7" s="42" t="s">
        <v>43</v>
      </c>
      <c r="R7" s="13" t="s">
        <v>44</v>
      </c>
      <c r="S7" s="13" t="s">
        <v>45</v>
      </c>
      <c r="T7" s="64" t="s">
        <v>46</v>
      </c>
      <c r="U7" s="341" t="s">
        <v>3</v>
      </c>
      <c r="V7" s="342" t="s">
        <v>5</v>
      </c>
      <c r="W7" s="342" t="s">
        <v>47</v>
      </c>
      <c r="X7" s="342" t="s">
        <v>48</v>
      </c>
      <c r="Y7" s="343" t="s">
        <v>49</v>
      </c>
      <c r="Z7" s="451" t="s">
        <v>50</v>
      </c>
      <c r="AA7" s="452"/>
      <c r="AB7" s="453"/>
      <c r="AC7" s="453" t="s">
        <v>51</v>
      </c>
      <c r="AD7" s="472" t="s">
        <v>52</v>
      </c>
      <c r="AE7" s="453" t="s">
        <v>53</v>
      </c>
    </row>
    <row r="8" spans="1:31" ht="16.5" thickBot="1" x14ac:dyDescent="0.3">
      <c r="A8" s="12"/>
      <c r="B8" s="458"/>
      <c r="C8" s="462"/>
      <c r="D8" s="462"/>
      <c r="E8" s="464"/>
      <c r="F8" s="462"/>
      <c r="G8" s="466"/>
      <c r="H8" s="466"/>
      <c r="I8" s="464"/>
      <c r="J8" s="468"/>
      <c r="K8" s="460"/>
      <c r="L8" s="455"/>
      <c r="M8" s="455"/>
      <c r="N8" s="455"/>
      <c r="O8" s="456"/>
      <c r="P8" s="397"/>
      <c r="Q8" s="14">
        <f t="shared" ref="Q8:Y8" si="0">Q49+Q90</f>
        <v>392</v>
      </c>
      <c r="R8" s="14">
        <f t="shared" si="0"/>
        <v>102</v>
      </c>
      <c r="S8" s="14">
        <f t="shared" si="0"/>
        <v>494</v>
      </c>
      <c r="T8" s="374">
        <f t="shared" si="0"/>
        <v>494</v>
      </c>
      <c r="U8" s="375">
        <f t="shared" si="0"/>
        <v>215</v>
      </c>
      <c r="V8" s="14">
        <f t="shared" si="0"/>
        <v>0</v>
      </c>
      <c r="W8" s="14">
        <f t="shared" si="0"/>
        <v>279</v>
      </c>
      <c r="X8" s="14">
        <f t="shared" si="0"/>
        <v>0</v>
      </c>
      <c r="Y8" s="14">
        <f t="shared" si="0"/>
        <v>494</v>
      </c>
      <c r="Z8" s="454"/>
      <c r="AA8" s="455"/>
      <c r="AB8" s="456"/>
      <c r="AC8" s="456"/>
      <c r="AD8" s="473"/>
      <c r="AE8" s="456"/>
    </row>
    <row r="9" spans="1:31" x14ac:dyDescent="0.2">
      <c r="A9" s="469" t="s">
        <v>54</v>
      </c>
      <c r="B9" s="440" t="s">
        <v>265</v>
      </c>
      <c r="C9" s="29" t="s">
        <v>266</v>
      </c>
      <c r="D9" s="48" t="s">
        <v>212</v>
      </c>
      <c r="E9" s="32" t="s">
        <v>287</v>
      </c>
      <c r="F9" s="30"/>
      <c r="G9" s="31" t="s">
        <v>206</v>
      </c>
      <c r="H9" s="40">
        <v>20</v>
      </c>
      <c r="I9" s="37">
        <v>24</v>
      </c>
      <c r="J9" s="44">
        <v>24</v>
      </c>
      <c r="K9" s="34" t="s">
        <v>288</v>
      </c>
      <c r="L9" s="443"/>
      <c r="M9" s="443"/>
      <c r="N9" s="443"/>
      <c r="O9" s="444"/>
      <c r="P9" s="34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20</v>
      </c>
      <c r="R9" s="53"/>
      <c r="S9" s="15">
        <f>IF(OR(G9="",K9="Mut+ext"),0,IF(ISERROR(Q9+R9)=TRUE,Q9,Q9+R9))</f>
        <v>20</v>
      </c>
      <c r="T9" s="54">
        <f>IF(G9="",0,IF(ISERROR(R9+Q9*VLOOKUP(G9,Paramétrage!$D$6:$F$27,3,0))=TRUE,S9,R9+Q9*VLOOKUP(G9,Paramétrage!$D$6:$F$27,3,0)))</f>
        <v>20</v>
      </c>
      <c r="U9" s="37"/>
      <c r="V9" s="37"/>
      <c r="W9" s="37">
        <f>S9</f>
        <v>20</v>
      </c>
      <c r="X9" s="37"/>
      <c r="Y9" s="345">
        <f>SUM(U9:X9)</f>
        <v>20</v>
      </c>
      <c r="Z9" s="445"/>
      <c r="AA9" s="446"/>
      <c r="AB9" s="447"/>
      <c r="AC9" s="56">
        <f>VLOOKUP(D9,Paramétrage!$K$6:$L$12,2,0)</f>
        <v>2</v>
      </c>
      <c r="AD9" s="55">
        <f t="shared" ref="AD9:AD48" si="1">IF(B9="",0,IF(E9="",0,IF(SUMIF($B$9:$B$48,B9,$I$9:$I$48)=0,0,IF(E9="Obligatoire",AE9/I9,IF(F9="",AE9/SUMIF($B$9:$B$48,B9,$I$9:$I$48),AE9/(SUMIF($B$9:$B$48,B9,$I$9:$I$48)/F9))))))</f>
        <v>20</v>
      </c>
      <c r="AE9" s="56">
        <f>H9*I9</f>
        <v>480</v>
      </c>
    </row>
    <row r="10" spans="1:31" x14ac:dyDescent="0.2">
      <c r="A10" s="470"/>
      <c r="B10" s="440" t="s">
        <v>267</v>
      </c>
      <c r="C10" s="29" t="s">
        <v>268</v>
      </c>
      <c r="D10" s="48" t="s">
        <v>212</v>
      </c>
      <c r="E10" s="32" t="s">
        <v>287</v>
      </c>
      <c r="F10" s="30"/>
      <c r="G10" s="31" t="s">
        <v>206</v>
      </c>
      <c r="H10" s="40">
        <v>20</v>
      </c>
      <c r="I10" s="37">
        <v>24</v>
      </c>
      <c r="J10" s="44">
        <v>24</v>
      </c>
      <c r="K10" s="34" t="s">
        <v>288</v>
      </c>
      <c r="L10" s="443"/>
      <c r="M10" s="443"/>
      <c r="N10" s="443"/>
      <c r="O10" s="444"/>
      <c r="P10" s="34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20</v>
      </c>
      <c r="R10" s="33"/>
      <c r="S10" s="15">
        <f t="shared" ref="S10:S71" si="2">IF(OR(G10="",K10="Mut+ext"),0,IF(ISERROR(Q10+R10)=TRUE,Q10,Q10+R10))</f>
        <v>20</v>
      </c>
      <c r="T10" s="28">
        <f>IF(G10="",0,IF(ISERROR(R10+Q10*VLOOKUP(G10,Paramétrage!$D$6:$F$27,3,0))=TRUE,S10,R10+Q10*VLOOKUP(G10,Paramétrage!$D$6:$F$27,3,0)))</f>
        <v>20</v>
      </c>
      <c r="U10" s="37"/>
      <c r="V10" s="37"/>
      <c r="W10" s="37">
        <f>S10</f>
        <v>20</v>
      </c>
      <c r="X10" s="37"/>
      <c r="Y10" s="345">
        <f t="shared" ref="Y10:Y28" si="3">SUM(U10:X10)</f>
        <v>20</v>
      </c>
      <c r="Z10" s="442"/>
      <c r="AA10" s="443"/>
      <c r="AB10" s="444"/>
      <c r="AC10" s="16">
        <f>VLOOKUP(D10,Paramétrage!$K$6:$L$12,2,0)</f>
        <v>2</v>
      </c>
      <c r="AD10" s="27">
        <f t="shared" si="1"/>
        <v>20</v>
      </c>
      <c r="AE10" s="16">
        <f>H10*I10</f>
        <v>480</v>
      </c>
    </row>
    <row r="11" spans="1:31" x14ac:dyDescent="0.2">
      <c r="A11" s="470"/>
      <c r="B11" s="440" t="s">
        <v>269</v>
      </c>
      <c r="C11" s="29" t="s">
        <v>270</v>
      </c>
      <c r="D11" s="48" t="s">
        <v>212</v>
      </c>
      <c r="E11" s="32" t="s">
        <v>287</v>
      </c>
      <c r="F11" s="30"/>
      <c r="G11" s="31" t="s">
        <v>206</v>
      </c>
      <c r="H11" s="40">
        <v>20</v>
      </c>
      <c r="I11" s="37">
        <v>24</v>
      </c>
      <c r="J11" s="44">
        <v>24</v>
      </c>
      <c r="K11" s="34" t="s">
        <v>288</v>
      </c>
      <c r="L11" s="443"/>
      <c r="M11" s="443"/>
      <c r="N11" s="443"/>
      <c r="O11" s="444"/>
      <c r="P11" s="34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20</v>
      </c>
      <c r="R11" s="33"/>
      <c r="S11" s="15">
        <f t="shared" si="2"/>
        <v>20</v>
      </c>
      <c r="T11" s="28">
        <f>IF(G11="",0,IF(ISERROR(R11+Q11*VLOOKUP(G11,Paramétrage!$D$6:$F$27,3,0))=TRUE,S11,R11+Q11*VLOOKUP(G11,Paramétrage!$D$6:$F$27,3,0)))</f>
        <v>20</v>
      </c>
      <c r="U11" s="37">
        <f>S11</f>
        <v>20</v>
      </c>
      <c r="V11" s="37"/>
      <c r="W11" s="37"/>
      <c r="X11" s="37"/>
      <c r="Y11" s="345">
        <f t="shared" si="3"/>
        <v>20</v>
      </c>
      <c r="Z11" s="442"/>
      <c r="AA11" s="443"/>
      <c r="AB11" s="444"/>
      <c r="AC11" s="16">
        <f>VLOOKUP(D11,Paramétrage!$K$6:$L$12,2,0)</f>
        <v>2</v>
      </c>
      <c r="AD11" s="27">
        <f t="shared" si="1"/>
        <v>20</v>
      </c>
      <c r="AE11" s="16">
        <f>H11*I11</f>
        <v>480</v>
      </c>
    </row>
    <row r="12" spans="1:31" x14ac:dyDescent="0.2">
      <c r="A12" s="470"/>
      <c r="B12" s="440" t="s">
        <v>271</v>
      </c>
      <c r="C12" s="29" t="s">
        <v>272</v>
      </c>
      <c r="D12" s="48" t="s">
        <v>212</v>
      </c>
      <c r="E12" s="32" t="s">
        <v>287</v>
      </c>
      <c r="F12" s="30"/>
      <c r="G12" s="31" t="s">
        <v>206</v>
      </c>
      <c r="H12" s="40">
        <v>30</v>
      </c>
      <c r="I12" s="37">
        <v>24</v>
      </c>
      <c r="J12" s="44">
        <v>24</v>
      </c>
      <c r="K12" s="34" t="s">
        <v>288</v>
      </c>
      <c r="L12" s="443"/>
      <c r="M12" s="443"/>
      <c r="N12" s="443"/>
      <c r="O12" s="444"/>
      <c r="P12" s="344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30</v>
      </c>
      <c r="R12" s="33"/>
      <c r="S12" s="15">
        <f t="shared" si="2"/>
        <v>30</v>
      </c>
      <c r="T12" s="28">
        <f>IF(G12="",0,IF(ISERROR(R12+Q12*VLOOKUP(G12,Paramétrage!$D$6:$F$27,3,0))=TRUE,S12,R12+Q12*VLOOKUP(G12,Paramétrage!$D$6:$F$27,3,0)))</f>
        <v>30</v>
      </c>
      <c r="U12" s="37"/>
      <c r="V12" s="37"/>
      <c r="W12" s="37">
        <f>S12</f>
        <v>30</v>
      </c>
      <c r="X12" s="37"/>
      <c r="Y12" s="345">
        <f t="shared" si="3"/>
        <v>30</v>
      </c>
      <c r="Z12" s="442"/>
      <c r="AA12" s="443"/>
      <c r="AB12" s="444"/>
      <c r="AC12" s="16">
        <f>VLOOKUP(D12,Paramétrage!$K$6:$L$12,2,0)</f>
        <v>2</v>
      </c>
      <c r="AD12" s="27">
        <f t="shared" si="1"/>
        <v>30</v>
      </c>
      <c r="AE12" s="16">
        <f>H12*I12</f>
        <v>720</v>
      </c>
    </row>
    <row r="13" spans="1:31" x14ac:dyDescent="0.2">
      <c r="A13" s="470"/>
      <c r="B13" s="440" t="s">
        <v>273</v>
      </c>
      <c r="C13" s="29" t="s">
        <v>274</v>
      </c>
      <c r="D13" s="48" t="s">
        <v>212</v>
      </c>
      <c r="E13" s="32" t="s">
        <v>287</v>
      </c>
      <c r="F13" s="30"/>
      <c r="G13" s="31" t="s">
        <v>206</v>
      </c>
      <c r="H13" s="40">
        <v>30</v>
      </c>
      <c r="I13" s="37">
        <v>24</v>
      </c>
      <c r="J13" s="44">
        <v>24</v>
      </c>
      <c r="K13" s="34" t="s">
        <v>288</v>
      </c>
      <c r="L13" s="443"/>
      <c r="M13" s="443"/>
      <c r="N13" s="443"/>
      <c r="O13" s="444"/>
      <c r="P13" s="34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30</v>
      </c>
      <c r="R13" s="33"/>
      <c r="S13" s="15">
        <f t="shared" si="2"/>
        <v>30</v>
      </c>
      <c r="T13" s="28">
        <f>IF(G13="",0,IF(ISERROR(R13+Q13*VLOOKUP(G13,Paramétrage!$D$6:$F$27,3,0))=TRUE,S13,R13+Q13*VLOOKUP(G13,Paramétrage!$D$6:$F$27,3,0)))</f>
        <v>30</v>
      </c>
      <c r="U13" s="37">
        <f>S13</f>
        <v>30</v>
      </c>
      <c r="V13" s="37"/>
      <c r="W13" s="37"/>
      <c r="X13" s="37"/>
      <c r="Y13" s="345">
        <f t="shared" si="3"/>
        <v>30</v>
      </c>
      <c r="Z13" s="442"/>
      <c r="AA13" s="443"/>
      <c r="AB13" s="444"/>
      <c r="AC13" s="16">
        <f>VLOOKUP(D13,Paramétrage!$K$6:$L$12,2,0)</f>
        <v>2</v>
      </c>
      <c r="AD13" s="27">
        <f t="shared" si="1"/>
        <v>30</v>
      </c>
      <c r="AE13" s="16">
        <f t="shared" ref="AE13:AE24" si="4">H13*I13</f>
        <v>720</v>
      </c>
    </row>
    <row r="14" spans="1:31" x14ac:dyDescent="0.2">
      <c r="A14" s="470"/>
      <c r="B14" s="440" t="s">
        <v>275</v>
      </c>
      <c r="C14" s="29" t="s">
        <v>276</v>
      </c>
      <c r="D14" s="48" t="s">
        <v>212</v>
      </c>
      <c r="E14" s="32" t="s">
        <v>287</v>
      </c>
      <c r="F14" s="30"/>
      <c r="G14" s="31" t="s">
        <v>206</v>
      </c>
      <c r="H14" s="40">
        <v>10</v>
      </c>
      <c r="I14" s="37">
        <v>24</v>
      </c>
      <c r="J14" s="44">
        <v>24</v>
      </c>
      <c r="K14" s="34" t="s">
        <v>288</v>
      </c>
      <c r="L14" s="443"/>
      <c r="M14" s="443"/>
      <c r="N14" s="443"/>
      <c r="O14" s="444"/>
      <c r="P14" s="34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10</v>
      </c>
      <c r="R14" s="33"/>
      <c r="S14" s="15">
        <f t="shared" si="2"/>
        <v>10</v>
      </c>
      <c r="T14" s="28">
        <f>IF(G14="",0,IF(ISERROR(R14+Q14*VLOOKUP(G14,Paramétrage!$D$6:$F$27,3,0))=TRUE,S14,R14+Q14*VLOOKUP(G14,Paramétrage!$D$6:$F$27,3,0)))</f>
        <v>10</v>
      </c>
      <c r="U14" s="37"/>
      <c r="V14" s="37"/>
      <c r="W14" s="37">
        <f>S14</f>
        <v>10</v>
      </c>
      <c r="X14" s="37"/>
      <c r="Y14" s="345">
        <f t="shared" si="3"/>
        <v>10</v>
      </c>
      <c r="Z14" s="442"/>
      <c r="AA14" s="443"/>
      <c r="AB14" s="444"/>
      <c r="AC14" s="16">
        <f>VLOOKUP(D14,Paramétrage!$K$6:$L$12,2,0)</f>
        <v>2</v>
      </c>
      <c r="AD14" s="27">
        <f t="shared" si="1"/>
        <v>10</v>
      </c>
      <c r="AE14" s="16">
        <f t="shared" si="4"/>
        <v>240</v>
      </c>
    </row>
    <row r="15" spans="1:31" x14ac:dyDescent="0.2">
      <c r="A15" s="470"/>
      <c r="B15" s="440" t="s">
        <v>277</v>
      </c>
      <c r="C15" s="29" t="s">
        <v>278</v>
      </c>
      <c r="D15" s="48" t="s">
        <v>212</v>
      </c>
      <c r="E15" s="32" t="s">
        <v>287</v>
      </c>
      <c r="F15" s="30"/>
      <c r="G15" s="31" t="s">
        <v>206</v>
      </c>
      <c r="H15" s="40">
        <v>20</v>
      </c>
      <c r="I15" s="37">
        <v>24</v>
      </c>
      <c r="J15" s="44">
        <v>24</v>
      </c>
      <c r="K15" s="34" t="s">
        <v>288</v>
      </c>
      <c r="L15" s="443"/>
      <c r="M15" s="443"/>
      <c r="N15" s="443"/>
      <c r="O15" s="444"/>
      <c r="P15" s="344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20</v>
      </c>
      <c r="R15" s="33"/>
      <c r="S15" s="15">
        <f t="shared" si="2"/>
        <v>20</v>
      </c>
      <c r="T15" s="28">
        <f>IF(G15="",0,IF(ISERROR(R15+Q15*VLOOKUP(G15,Paramétrage!$D$6:$F$27,3,0))=TRUE,S15,R15+Q15*VLOOKUP(G15,Paramétrage!$D$6:$F$27,3,0)))</f>
        <v>20</v>
      </c>
      <c r="U15" s="37">
        <f>S15</f>
        <v>20</v>
      </c>
      <c r="V15" s="37"/>
      <c r="W15" s="37"/>
      <c r="X15" s="37"/>
      <c r="Y15" s="345">
        <f t="shared" si="3"/>
        <v>20</v>
      </c>
      <c r="Z15" s="442"/>
      <c r="AA15" s="443"/>
      <c r="AB15" s="444"/>
      <c r="AC15" s="16">
        <f>VLOOKUP(D15,Paramétrage!$K$6:$L$12,2,0)</f>
        <v>2</v>
      </c>
      <c r="AD15" s="27">
        <f t="shared" si="1"/>
        <v>20</v>
      </c>
      <c r="AE15" s="16">
        <f t="shared" ref="AE15:AE17" si="5">H15*I15</f>
        <v>480</v>
      </c>
    </row>
    <row r="16" spans="1:31" x14ac:dyDescent="0.2">
      <c r="A16" s="470"/>
      <c r="B16" s="440" t="s">
        <v>279</v>
      </c>
      <c r="C16" s="29" t="s">
        <v>280</v>
      </c>
      <c r="D16" s="48" t="s">
        <v>212</v>
      </c>
      <c r="E16" s="32" t="s">
        <v>287</v>
      </c>
      <c r="F16" s="30"/>
      <c r="G16" s="31" t="s">
        <v>206</v>
      </c>
      <c r="H16" s="40">
        <v>10</v>
      </c>
      <c r="I16" s="37">
        <v>24</v>
      </c>
      <c r="J16" s="44">
        <v>24</v>
      </c>
      <c r="K16" s="34" t="s">
        <v>288</v>
      </c>
      <c r="L16" s="443"/>
      <c r="M16" s="443"/>
      <c r="N16" s="443"/>
      <c r="O16" s="444"/>
      <c r="P16" s="34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10</v>
      </c>
      <c r="R16" s="33"/>
      <c r="S16" s="15">
        <f t="shared" si="2"/>
        <v>10</v>
      </c>
      <c r="T16" s="28">
        <f>IF(G16="",0,IF(ISERROR(R16+Q16*VLOOKUP(G16,Paramétrage!$D$6:$F$27,3,0))=TRUE,S16,R16+Q16*VLOOKUP(G16,Paramétrage!$D$6:$F$27,3,0)))</f>
        <v>10</v>
      </c>
      <c r="U16" s="37"/>
      <c r="V16" s="37"/>
      <c r="W16" s="37">
        <f>S16</f>
        <v>10</v>
      </c>
      <c r="X16" s="37"/>
      <c r="Y16" s="345">
        <f t="shared" si="3"/>
        <v>10</v>
      </c>
      <c r="Z16" s="442"/>
      <c r="AA16" s="443"/>
      <c r="AB16" s="444"/>
      <c r="AC16" s="16">
        <f>VLOOKUP(D16,Paramétrage!$K$6:$L$12,2,0)</f>
        <v>2</v>
      </c>
      <c r="AD16" s="27">
        <f t="shared" si="1"/>
        <v>10</v>
      </c>
      <c r="AE16" s="16">
        <f t="shared" si="5"/>
        <v>240</v>
      </c>
    </row>
    <row r="17" spans="1:31" x14ac:dyDescent="0.2">
      <c r="A17" s="470"/>
      <c r="B17" s="440" t="s">
        <v>281</v>
      </c>
      <c r="C17" s="29" t="s">
        <v>282</v>
      </c>
      <c r="D17" s="48" t="s">
        <v>212</v>
      </c>
      <c r="E17" s="32" t="s">
        <v>287</v>
      </c>
      <c r="F17" s="30"/>
      <c r="G17" s="31" t="s">
        <v>237</v>
      </c>
      <c r="H17" s="40">
        <v>30</v>
      </c>
      <c r="I17" s="37">
        <v>24</v>
      </c>
      <c r="J17" s="44">
        <v>24</v>
      </c>
      <c r="K17" s="34" t="s">
        <v>288</v>
      </c>
      <c r="L17" s="443"/>
      <c r="M17" s="443"/>
      <c r="N17" s="443"/>
      <c r="O17" s="444"/>
      <c r="P17" s="344">
        <f>IF(OR(J17="",G17=Paramétrage!$D$9,G17=Paramétrage!$D$12,G17=Paramétrage!$D$15,G17=Paramétrage!$D$18,G17=Paramétrage!$D$22,G17=Paramétrage!$D$25,AND(G17&lt;&gt;Paramétrage!$D$9,K17="Mut+ext")),0,ROUNDUP(I17/J17,0))</f>
        <v>0</v>
      </c>
      <c r="Q17" s="17">
        <f>IF(OR(G17="",K17="Mut+ext"),0,IF(VLOOKUP(G17,Paramétrage!$D$6:$F$27,3,0)=0,0,IF(J17="","saisir capacité",H17*P17*VLOOKUP(G17,Paramétrage!$D$6:$F$27,2,0))))</f>
        <v>0</v>
      </c>
      <c r="R17" s="33">
        <v>30</v>
      </c>
      <c r="S17" s="15">
        <f>IF(OR(G17="",K17="Mut+ext"),0,IF(ISERROR(Q17+R17)=TRUE,Q17,Q17+R17))</f>
        <v>30</v>
      </c>
      <c r="T17" s="28">
        <f>IF(G17="",0,IF(ISERROR(R17+Q17*VLOOKUP(G17,Paramétrage!$D$6:$F$27,3,0))=TRUE,S17,R17+Q17*VLOOKUP(G17,Paramétrage!$D$6:$F$27,3,0)))</f>
        <v>30</v>
      </c>
      <c r="U17" s="37">
        <v>15</v>
      </c>
      <c r="V17" s="37"/>
      <c r="W17" s="37">
        <v>15</v>
      </c>
      <c r="X17" s="37"/>
      <c r="Y17" s="345">
        <f t="shared" si="3"/>
        <v>30</v>
      </c>
      <c r="Z17" s="442"/>
      <c r="AA17" s="443"/>
      <c r="AB17" s="444"/>
      <c r="AC17" s="16">
        <f>VLOOKUP(D17,Paramétrage!$K$6:$L$12,2,0)</f>
        <v>2</v>
      </c>
      <c r="AD17" s="27">
        <f t="shared" si="1"/>
        <v>30</v>
      </c>
      <c r="AE17" s="16">
        <f t="shared" si="5"/>
        <v>720</v>
      </c>
    </row>
    <row r="18" spans="1:31" x14ac:dyDescent="0.2">
      <c r="A18" s="470"/>
      <c r="B18" s="440" t="s">
        <v>283</v>
      </c>
      <c r="C18" s="29" t="s">
        <v>284</v>
      </c>
      <c r="D18" s="48" t="s">
        <v>212</v>
      </c>
      <c r="E18" s="32" t="s">
        <v>287</v>
      </c>
      <c r="F18" s="30"/>
      <c r="G18" s="31" t="s">
        <v>206</v>
      </c>
      <c r="H18" s="40">
        <v>12</v>
      </c>
      <c r="I18" s="37">
        <v>24</v>
      </c>
      <c r="J18" s="44">
        <v>24</v>
      </c>
      <c r="K18" s="34" t="s">
        <v>288</v>
      </c>
      <c r="L18" s="443"/>
      <c r="M18" s="443"/>
      <c r="N18" s="443"/>
      <c r="O18" s="444"/>
      <c r="P18" s="34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12</v>
      </c>
      <c r="R18" s="33"/>
      <c r="S18" s="15">
        <f>IF(OR(G18="",K18="Mut+ext"),0,IF(ISERROR(Q18+R18)=TRUE,Q18,Q18+R18))</f>
        <v>12</v>
      </c>
      <c r="T18" s="28">
        <f>IF(G18="",0,IF(ISERROR(R18+Q18*VLOOKUP(G18,Paramétrage!$D$6:$F$27,3,0))=TRUE,S18,R18+Q18*VLOOKUP(G18,Paramétrage!$D$6:$F$27,3,0)))</f>
        <v>12</v>
      </c>
      <c r="U18" s="37">
        <f>S18</f>
        <v>12</v>
      </c>
      <c r="V18" s="37"/>
      <c r="W18" s="37"/>
      <c r="X18" s="37"/>
      <c r="Y18" s="345">
        <f t="shared" si="3"/>
        <v>12</v>
      </c>
      <c r="Z18" s="442"/>
      <c r="AA18" s="443"/>
      <c r="AB18" s="444"/>
      <c r="AC18" s="16">
        <f>VLOOKUP(D18,Paramétrage!$K$6:$L$12,2,0)</f>
        <v>2</v>
      </c>
      <c r="AD18" s="27">
        <f t="shared" si="1"/>
        <v>12</v>
      </c>
      <c r="AE18" s="16">
        <f t="shared" si="4"/>
        <v>288</v>
      </c>
    </row>
    <row r="19" spans="1:31" x14ac:dyDescent="0.2">
      <c r="A19" s="470"/>
      <c r="B19" s="440" t="s">
        <v>285</v>
      </c>
      <c r="C19" s="29" t="s">
        <v>286</v>
      </c>
      <c r="D19" s="48" t="s">
        <v>212</v>
      </c>
      <c r="E19" s="32" t="s">
        <v>287</v>
      </c>
      <c r="F19" s="30"/>
      <c r="G19" s="31" t="s">
        <v>206</v>
      </c>
      <c r="H19" s="40">
        <v>4</v>
      </c>
      <c r="I19" s="37">
        <v>24</v>
      </c>
      <c r="J19" s="44">
        <v>24</v>
      </c>
      <c r="K19" s="34" t="s">
        <v>288</v>
      </c>
      <c r="L19" s="443"/>
      <c r="M19" s="443"/>
      <c r="N19" s="443"/>
      <c r="O19" s="444"/>
      <c r="P19" s="344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4</v>
      </c>
      <c r="R19" s="33"/>
      <c r="S19" s="15">
        <f>IF(OR(G19="",K19="Mut+ext"),0,IF(ISERROR(Q19+R19)=TRUE,Q19,Q19+R19))</f>
        <v>4</v>
      </c>
      <c r="T19" s="28">
        <f>IF(G19="",0,IF(ISERROR(R19+Q19*VLOOKUP(G19,Paramétrage!$D$6:$F$27,3,0))=TRUE,S19,R19+Q19*VLOOKUP(G19,Paramétrage!$D$6:$F$27,3,0)))</f>
        <v>4</v>
      </c>
      <c r="U19" s="37"/>
      <c r="V19" s="37"/>
      <c r="W19" s="37">
        <f>S19</f>
        <v>4</v>
      </c>
      <c r="X19" s="37"/>
      <c r="Y19" s="345">
        <f t="shared" si="3"/>
        <v>4</v>
      </c>
      <c r="Z19" s="442"/>
      <c r="AA19" s="443"/>
      <c r="AB19" s="444"/>
      <c r="AC19" s="16">
        <f>VLOOKUP(D19,Paramétrage!$K$6:$L$12,2,0)</f>
        <v>2</v>
      </c>
      <c r="AD19" s="27">
        <f t="shared" si="1"/>
        <v>4</v>
      </c>
      <c r="AE19" s="16">
        <f t="shared" si="4"/>
        <v>96</v>
      </c>
    </row>
    <row r="20" spans="1:31" hidden="1" x14ac:dyDescent="0.2">
      <c r="A20" s="470"/>
      <c r="B20" s="50"/>
      <c r="C20" s="32"/>
      <c r="D20" s="32"/>
      <c r="E20" s="48"/>
      <c r="F20" s="30"/>
      <c r="G20" s="31"/>
      <c r="H20" s="40"/>
      <c r="I20" s="363"/>
      <c r="J20" s="44"/>
      <c r="K20" s="34"/>
      <c r="L20" s="443"/>
      <c r="M20" s="443"/>
      <c r="N20" s="443"/>
      <c r="O20" s="444"/>
      <c r="P20" s="344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7">
        <f>IF(OR(G20="",K20="Mut+ext"),0,IF(VLOOKUP(G20,Paramétrage!$D$6:$F$27,3,0)=0,0,IF(J20="","saisir capacité",H20*P20*VLOOKUP(G20,Paramétrage!$D$6:$F$27,2,0))))</f>
        <v>0</v>
      </c>
      <c r="R20" s="33"/>
      <c r="S20" s="15">
        <f t="shared" si="2"/>
        <v>0</v>
      </c>
      <c r="T20" s="28">
        <f>IF(G20="",0,IF(ISERROR(R20+Q20*VLOOKUP(G20,Paramétrage!$D$6:$F$27,3,0))=TRUE,S20,R20+Q20*VLOOKUP(G20,Paramétrage!$D$6:$F$27,3,0)))</f>
        <v>0</v>
      </c>
      <c r="U20" s="37"/>
      <c r="V20" s="37"/>
      <c r="W20" s="37"/>
      <c r="X20" s="37"/>
      <c r="Y20" s="345">
        <f t="shared" si="3"/>
        <v>0</v>
      </c>
      <c r="Z20" s="442"/>
      <c r="AA20" s="443"/>
      <c r="AB20" s="444"/>
      <c r="AC20" s="16" t="e">
        <f>VLOOKUP(D20,Paramétrage!$K$6:$L$12,2,0)</f>
        <v>#N/A</v>
      </c>
      <c r="AD20" s="27">
        <f t="shared" si="1"/>
        <v>0</v>
      </c>
      <c r="AE20" s="16">
        <f t="shared" si="4"/>
        <v>0</v>
      </c>
    </row>
    <row r="21" spans="1:31" hidden="1" x14ac:dyDescent="0.2">
      <c r="A21" s="470"/>
      <c r="B21" s="392"/>
      <c r="C21" s="394"/>
      <c r="D21" s="32"/>
      <c r="E21" s="48"/>
      <c r="F21" s="30"/>
      <c r="G21" s="31"/>
      <c r="H21" s="40"/>
      <c r="I21" s="363"/>
      <c r="J21" s="44"/>
      <c r="K21" s="34"/>
      <c r="L21" s="443"/>
      <c r="M21" s="443"/>
      <c r="N21" s="443"/>
      <c r="O21" s="444"/>
      <c r="P21" s="344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33"/>
      <c r="S21" s="15">
        <f>IF(OR(G21="",K21="Mut+ext"),0,IF(ISERROR(Q21+R21)=TRUE,Q21,Q21+R21))</f>
        <v>0</v>
      </c>
      <c r="T21" s="28">
        <f>IF(G21="",0,IF(ISERROR(R21+Q21*VLOOKUP(G21,Paramétrage!$D$6:$F$27,3,0))=TRUE,S21,R21+Q21*VLOOKUP(G21,Paramétrage!$D$6:$F$27,3,0)))</f>
        <v>0</v>
      </c>
      <c r="U21" s="37"/>
      <c r="V21" s="37"/>
      <c r="W21" s="37"/>
      <c r="X21" s="37"/>
      <c r="Y21" s="345">
        <f t="shared" si="3"/>
        <v>0</v>
      </c>
      <c r="Z21" s="442"/>
      <c r="AA21" s="443"/>
      <c r="AB21" s="444"/>
      <c r="AC21" s="16" t="e">
        <f>VLOOKUP(D21,Paramétrage!$K$6:$L$12,2,0)</f>
        <v>#N/A</v>
      </c>
      <c r="AD21" s="27">
        <f t="shared" si="1"/>
        <v>0</v>
      </c>
      <c r="AE21" s="16">
        <f t="shared" si="4"/>
        <v>0</v>
      </c>
    </row>
    <row r="22" spans="1:31" ht="19.350000000000001" hidden="1" customHeight="1" x14ac:dyDescent="0.2">
      <c r="A22" s="470"/>
      <c r="B22" s="392"/>
      <c r="C22" s="394"/>
      <c r="D22" s="32"/>
      <c r="E22" s="48"/>
      <c r="F22" s="30"/>
      <c r="G22" s="31"/>
      <c r="H22" s="40"/>
      <c r="I22" s="363"/>
      <c r="J22" s="44"/>
      <c r="K22" s="34"/>
      <c r="L22" s="443"/>
      <c r="M22" s="443"/>
      <c r="N22" s="443"/>
      <c r="O22" s="444"/>
      <c r="P22" s="344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89"/>
      <c r="S22" s="15">
        <f>IF(OR(G22="",K22="Mut+ext"),0,IF(ISERROR(Q22+R22)=TRUE,Q22,Q22+R22))</f>
        <v>0</v>
      </c>
      <c r="T22" s="28">
        <f>IF(G22="",0,IF(ISERROR(R22+Q22*VLOOKUP(G22,Paramétrage!$D$6:$F$27,3,0))=TRUE,S22,R22+Q22*VLOOKUP(G22,Paramétrage!$D$6:$F$27,3,0)))</f>
        <v>0</v>
      </c>
      <c r="U22" s="37"/>
      <c r="V22" s="37"/>
      <c r="W22" s="37"/>
      <c r="X22" s="37"/>
      <c r="Y22" s="345">
        <f t="shared" si="3"/>
        <v>0</v>
      </c>
      <c r="Z22" s="442"/>
      <c r="AA22" s="443"/>
      <c r="AB22" s="444"/>
      <c r="AC22" s="16" t="e">
        <f>VLOOKUP(D22,Paramétrage!$K$6:$L$12,2,0)</f>
        <v>#N/A</v>
      </c>
      <c r="AD22" s="27">
        <f t="shared" si="1"/>
        <v>0</v>
      </c>
      <c r="AE22" s="16">
        <f t="shared" si="4"/>
        <v>0</v>
      </c>
    </row>
    <row r="23" spans="1:31" hidden="1" x14ac:dyDescent="0.2">
      <c r="A23" s="470"/>
      <c r="B23" s="392"/>
      <c r="C23" s="394"/>
      <c r="D23" s="32"/>
      <c r="E23" s="48"/>
      <c r="F23" s="30"/>
      <c r="G23" s="31"/>
      <c r="H23" s="40"/>
      <c r="I23" s="363"/>
      <c r="J23" s="44"/>
      <c r="K23" s="34"/>
      <c r="L23" s="443"/>
      <c r="M23" s="443"/>
      <c r="N23" s="443"/>
      <c r="O23" s="444"/>
      <c r="P23" s="344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3"/>
      <c r="S23" s="15">
        <f>IF(OR(G23="",K23="Mut+ext"),0,IF(ISERROR(Q23+R23)=TRUE,Q23,Q23+R23))</f>
        <v>0</v>
      </c>
      <c r="T23" s="28">
        <f>IF(G23="",0,IF(ISERROR(R23+Q23*VLOOKUP(G23,Paramétrage!$D$6:$F$27,3,0))=TRUE,S23,R23+Q23*VLOOKUP(G23,Paramétrage!$D$6:$F$27,3,0)))</f>
        <v>0</v>
      </c>
      <c r="U23" s="37"/>
      <c r="V23" s="37"/>
      <c r="W23" s="37"/>
      <c r="X23" s="37"/>
      <c r="Y23" s="345">
        <f t="shared" si="3"/>
        <v>0</v>
      </c>
      <c r="Z23" s="442"/>
      <c r="AA23" s="443"/>
      <c r="AB23" s="444"/>
      <c r="AC23" s="16" t="e">
        <f>VLOOKUP(D23,Paramétrage!$K$6:$L$12,2,0)</f>
        <v>#N/A</v>
      </c>
      <c r="AD23" s="27">
        <f t="shared" si="1"/>
        <v>0</v>
      </c>
      <c r="AE23" s="16">
        <f t="shared" si="4"/>
        <v>0</v>
      </c>
    </row>
    <row r="24" spans="1:31" hidden="1" x14ac:dyDescent="0.2">
      <c r="A24" s="470"/>
      <c r="B24" s="392"/>
      <c r="C24" s="394"/>
      <c r="D24" s="32"/>
      <c r="E24" s="48"/>
      <c r="F24" s="30"/>
      <c r="G24" s="31"/>
      <c r="H24" s="40"/>
      <c r="I24" s="37"/>
      <c r="J24" s="44"/>
      <c r="K24" s="34"/>
      <c r="L24" s="443"/>
      <c r="M24" s="443"/>
      <c r="N24" s="443"/>
      <c r="O24" s="444"/>
      <c r="P24" s="344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3"/>
      <c r="S24" s="15">
        <f t="shared" si="2"/>
        <v>0</v>
      </c>
      <c r="T24" s="28">
        <f>IF(G24="",0,IF(ISERROR(R24+Q24*VLOOKUP(G24,Paramétrage!$D$6:$F$27,3,0))=TRUE,S24,R24+Q24*VLOOKUP(G24,Paramétrage!$D$6:$F$27,3,0)))</f>
        <v>0</v>
      </c>
      <c r="U24" s="37"/>
      <c r="V24" s="37"/>
      <c r="W24" s="37"/>
      <c r="X24" s="37"/>
      <c r="Y24" s="345">
        <f t="shared" si="3"/>
        <v>0</v>
      </c>
      <c r="Z24" s="442"/>
      <c r="AA24" s="443"/>
      <c r="AB24" s="444"/>
      <c r="AC24" s="16" t="e">
        <f>VLOOKUP(D24,Paramétrage!$K$6:$L$12,2,0)</f>
        <v>#N/A</v>
      </c>
      <c r="AD24" s="27">
        <f t="shared" si="1"/>
        <v>0</v>
      </c>
      <c r="AE24" s="16">
        <f t="shared" si="4"/>
        <v>0</v>
      </c>
    </row>
    <row r="25" spans="1:31" ht="15.6" hidden="1" customHeight="1" x14ac:dyDescent="0.2">
      <c r="A25" s="470"/>
      <c r="B25" s="392"/>
      <c r="C25" s="394"/>
      <c r="D25" s="32"/>
      <c r="E25" s="48"/>
      <c r="F25" s="30"/>
      <c r="G25" s="31"/>
      <c r="H25" s="40"/>
      <c r="I25" s="37"/>
      <c r="J25" s="44"/>
      <c r="K25" s="34"/>
      <c r="L25" s="443"/>
      <c r="M25" s="443"/>
      <c r="N25" s="443"/>
      <c r="O25" s="444"/>
      <c r="P25" s="344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2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7"/>
      <c r="W25" s="37"/>
      <c r="X25" s="37"/>
      <c r="Y25" s="345">
        <f t="shared" si="3"/>
        <v>0</v>
      </c>
      <c r="Z25" s="442"/>
      <c r="AA25" s="443"/>
      <c r="AB25" s="444"/>
      <c r="AC25" s="16" t="e">
        <f>VLOOKUP(D25,Paramétrage!$K$6:$L$12,2,0)</f>
        <v>#N/A</v>
      </c>
      <c r="AD25" s="27">
        <f t="shared" si="1"/>
        <v>0</v>
      </c>
      <c r="AE25" s="16">
        <f t="shared" ref="AE25:AE30" si="6">H25*I25</f>
        <v>0</v>
      </c>
    </row>
    <row r="26" spans="1:31" hidden="1" x14ac:dyDescent="0.2">
      <c r="A26" s="470"/>
      <c r="B26" s="392"/>
      <c r="C26" s="395"/>
      <c r="D26" s="32"/>
      <c r="E26" s="48"/>
      <c r="F26" s="30"/>
      <c r="G26" s="31"/>
      <c r="H26" s="40"/>
      <c r="I26" s="39"/>
      <c r="J26" s="44"/>
      <c r="K26" s="34"/>
      <c r="L26" s="443"/>
      <c r="M26" s="443"/>
      <c r="N26" s="443"/>
      <c r="O26" s="444"/>
      <c r="P26" s="34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3"/>
      <c r="S26" s="15">
        <f t="shared" si="2"/>
        <v>0</v>
      </c>
      <c r="T26" s="28">
        <f>IF(G26="",0,IF(ISERROR(R26+Q26*VLOOKUP(G26,Paramétrage!$D$6:$F$27,3,0))=TRUE,S26,R26+Q26*VLOOKUP(G26,Paramétrage!$D$6:$F$27,3,0)))</f>
        <v>0</v>
      </c>
      <c r="U26" s="39"/>
      <c r="V26" s="39"/>
      <c r="W26" s="39"/>
      <c r="X26" s="39"/>
      <c r="Y26" s="345">
        <f t="shared" si="3"/>
        <v>0</v>
      </c>
      <c r="Z26" s="442"/>
      <c r="AA26" s="443"/>
      <c r="AB26" s="444"/>
      <c r="AC26" s="16" t="e">
        <f>VLOOKUP(D26,Paramétrage!$K$6:$L$12,2,0)</f>
        <v>#N/A</v>
      </c>
      <c r="AD26" s="27">
        <f t="shared" si="1"/>
        <v>0</v>
      </c>
      <c r="AE26" s="16">
        <f t="shared" si="6"/>
        <v>0</v>
      </c>
    </row>
    <row r="27" spans="1:31" hidden="1" x14ac:dyDescent="0.2">
      <c r="A27" s="470"/>
      <c r="B27" s="50"/>
      <c r="C27" s="32"/>
      <c r="D27" s="32"/>
      <c r="E27" s="48"/>
      <c r="F27" s="30"/>
      <c r="G27" s="31"/>
      <c r="H27" s="40"/>
      <c r="I27" s="38"/>
      <c r="J27" s="44"/>
      <c r="K27" s="34"/>
      <c r="L27" s="443"/>
      <c r="M27" s="443"/>
      <c r="N27" s="443"/>
      <c r="O27" s="444"/>
      <c r="P27" s="344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3"/>
      <c r="S27" s="15">
        <f t="shared" si="2"/>
        <v>0</v>
      </c>
      <c r="T27" s="28">
        <f>IF(G27="",0,IF(ISERROR(R27+Q27*VLOOKUP(G27,Paramétrage!$D$6:$F$27,3,0))=TRUE,S27,R27+Q27*VLOOKUP(G27,Paramétrage!$D$6:$F$27,3,0)))</f>
        <v>0</v>
      </c>
      <c r="U27" s="38"/>
      <c r="V27" s="38"/>
      <c r="W27" s="38"/>
      <c r="X27" s="38"/>
      <c r="Y27" s="345">
        <f t="shared" si="3"/>
        <v>0</v>
      </c>
      <c r="Z27" s="442"/>
      <c r="AA27" s="443"/>
      <c r="AB27" s="444"/>
      <c r="AC27" s="16" t="e">
        <f>VLOOKUP(D27,Paramétrage!$K$6:$L$12,2,0)</f>
        <v>#N/A</v>
      </c>
      <c r="AD27" s="27">
        <f t="shared" si="1"/>
        <v>0</v>
      </c>
      <c r="AE27" s="16">
        <f t="shared" si="6"/>
        <v>0</v>
      </c>
    </row>
    <row r="28" spans="1:31" hidden="1" x14ac:dyDescent="0.2">
      <c r="A28" s="470"/>
      <c r="B28" s="50"/>
      <c r="C28" s="29"/>
      <c r="D28" s="29"/>
      <c r="E28" s="367"/>
      <c r="F28" s="30"/>
      <c r="G28" s="31"/>
      <c r="H28" s="368"/>
      <c r="I28" s="38"/>
      <c r="J28" s="44"/>
      <c r="K28" s="34"/>
      <c r="L28" s="443"/>
      <c r="M28" s="443"/>
      <c r="N28" s="443"/>
      <c r="O28" s="444"/>
      <c r="P28" s="344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63"/>
      <c r="S28" s="364">
        <f t="shared" si="2"/>
        <v>0</v>
      </c>
      <c r="T28" s="365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66">
        <f t="shared" si="3"/>
        <v>0</v>
      </c>
      <c r="Z28" s="442"/>
      <c r="AA28" s="443"/>
      <c r="AB28" s="444"/>
      <c r="AC28" s="16" t="e">
        <f>VLOOKUP(D28,Paramétrage!$K$6:$L$12,2,0)</f>
        <v>#N/A</v>
      </c>
      <c r="AD28" s="27">
        <f t="shared" si="1"/>
        <v>0</v>
      </c>
      <c r="AE28" s="16">
        <f t="shared" si="6"/>
        <v>0</v>
      </c>
    </row>
    <row r="29" spans="1:31" ht="15.6" hidden="1" customHeight="1" x14ac:dyDescent="0.2">
      <c r="A29" s="470"/>
      <c r="B29" s="355"/>
      <c r="C29" s="356"/>
      <c r="D29" s="382"/>
      <c r="E29" s="357"/>
      <c r="F29" s="358"/>
      <c r="G29" s="359"/>
      <c r="H29" s="360"/>
      <c r="I29" s="37"/>
      <c r="J29" s="361"/>
      <c r="K29" s="362"/>
      <c r="L29" s="449"/>
      <c r="M29" s="449"/>
      <c r="N29" s="449"/>
      <c r="O29" s="450"/>
      <c r="P29" s="353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54"/>
      <c r="S29" s="15">
        <f t="shared" si="2"/>
        <v>0</v>
      </c>
      <c r="T29" s="28">
        <f>IF(G29="",0,IF(ISERROR(R29+Q29*VLOOKUP(G29,Paramétrage!$D$6:$F$27,3,0))=TRUE,S29,R29+Q29*VLOOKUP(G29,Paramétrage!$D$6:$F$27,3,0)))</f>
        <v>0</v>
      </c>
      <c r="U29" s="37"/>
      <c r="V29" s="37"/>
      <c r="W29" s="37"/>
      <c r="X29" s="37"/>
      <c r="Y29" s="345">
        <f>SUM(U29:X29)</f>
        <v>0</v>
      </c>
      <c r="Z29" s="448"/>
      <c r="AA29" s="449"/>
      <c r="AB29" s="450"/>
      <c r="AC29" s="16" t="e">
        <f>VLOOKUP(D29,Paramétrage!$K$6:$L$12,2,0)</f>
        <v>#N/A</v>
      </c>
      <c r="AD29" s="27">
        <f t="shared" si="1"/>
        <v>0</v>
      </c>
      <c r="AE29" s="56">
        <f t="shared" si="6"/>
        <v>0</v>
      </c>
    </row>
    <row r="30" spans="1:31" hidden="1" x14ac:dyDescent="0.2">
      <c r="A30" s="470"/>
      <c r="B30" s="50"/>
      <c r="C30" s="29"/>
      <c r="D30" s="32"/>
      <c r="E30" s="48"/>
      <c r="F30" s="30"/>
      <c r="G30" s="31"/>
      <c r="H30" s="40"/>
      <c r="I30" s="37"/>
      <c r="J30" s="44"/>
      <c r="K30" s="34"/>
      <c r="L30" s="443"/>
      <c r="M30" s="443"/>
      <c r="N30" s="443"/>
      <c r="O30" s="444"/>
      <c r="P30" s="34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3"/>
      <c r="S30" s="15">
        <f t="shared" si="2"/>
        <v>0</v>
      </c>
      <c r="T30" s="28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45">
        <f t="shared" ref="Y30:Y48" si="7">SUM(U30:X30)</f>
        <v>0</v>
      </c>
      <c r="Z30" s="442"/>
      <c r="AA30" s="443"/>
      <c r="AB30" s="444"/>
      <c r="AC30" s="16" t="e">
        <f>VLOOKUP(D30,Paramétrage!$K$6:$L$12,2,0)</f>
        <v>#N/A</v>
      </c>
      <c r="AD30" s="27">
        <f t="shared" si="1"/>
        <v>0</v>
      </c>
      <c r="AE30" s="16">
        <f t="shared" si="6"/>
        <v>0</v>
      </c>
    </row>
    <row r="31" spans="1:31" hidden="1" x14ac:dyDescent="0.2">
      <c r="A31" s="470"/>
      <c r="B31" s="50"/>
      <c r="C31" s="29"/>
      <c r="D31" s="32"/>
      <c r="E31" s="48"/>
      <c r="F31" s="30"/>
      <c r="G31" s="31"/>
      <c r="H31" s="40"/>
      <c r="I31" s="37"/>
      <c r="J31" s="44"/>
      <c r="K31" s="34"/>
      <c r="L31" s="443"/>
      <c r="M31" s="443"/>
      <c r="N31" s="443"/>
      <c r="O31" s="444"/>
      <c r="P31" s="34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3"/>
      <c r="S31" s="15">
        <f t="shared" si="2"/>
        <v>0</v>
      </c>
      <c r="T31" s="28">
        <f>IF(G31="",0,IF(ISERROR(R31+Q31*VLOOKUP(G31,Paramétrage!$D$6:$F$27,3,0))=TRUE,S31,R31+Q31*VLOOKUP(G31,Paramétrage!$D$6:$F$27,3,0)))</f>
        <v>0</v>
      </c>
      <c r="U31" s="37"/>
      <c r="V31" s="37"/>
      <c r="W31" s="37"/>
      <c r="X31" s="37"/>
      <c r="Y31" s="345">
        <f t="shared" si="7"/>
        <v>0</v>
      </c>
      <c r="Z31" s="442"/>
      <c r="AA31" s="443"/>
      <c r="AB31" s="444"/>
      <c r="AC31" s="16" t="e">
        <f>VLOOKUP(D31,Paramétrage!$K$6:$L$12,2,0)</f>
        <v>#N/A</v>
      </c>
      <c r="AD31" s="27">
        <f t="shared" si="1"/>
        <v>0</v>
      </c>
      <c r="AE31" s="16">
        <f t="shared" ref="AE31:AE42" si="8">H31*I31</f>
        <v>0</v>
      </c>
    </row>
    <row r="32" spans="1:31" hidden="1" x14ac:dyDescent="0.2">
      <c r="A32" s="470"/>
      <c r="B32" s="50"/>
      <c r="C32" s="29"/>
      <c r="D32" s="32"/>
      <c r="E32" s="48"/>
      <c r="F32" s="30"/>
      <c r="G32" s="31"/>
      <c r="H32" s="40"/>
      <c r="I32" s="37"/>
      <c r="J32" s="44"/>
      <c r="K32" s="34"/>
      <c r="L32" s="443"/>
      <c r="M32" s="443"/>
      <c r="N32" s="443"/>
      <c r="O32" s="444"/>
      <c r="P32" s="34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3"/>
      <c r="S32" s="15">
        <f t="shared" si="2"/>
        <v>0</v>
      </c>
      <c r="T32" s="28">
        <f>IF(G32="",0,IF(ISERROR(R32+Q32*VLOOKUP(G32,Paramétrage!$D$6:$F$27,3,0))=TRUE,S32,R32+Q32*VLOOKUP(G32,Paramétrage!$D$6:$F$27,3,0)))</f>
        <v>0</v>
      </c>
      <c r="U32" s="37"/>
      <c r="V32" s="37"/>
      <c r="W32" s="37"/>
      <c r="X32" s="37"/>
      <c r="Y32" s="345">
        <f t="shared" si="7"/>
        <v>0</v>
      </c>
      <c r="Z32" s="442"/>
      <c r="AA32" s="443"/>
      <c r="AB32" s="444"/>
      <c r="AC32" s="16" t="e">
        <f>VLOOKUP(D32,Paramétrage!$K$6:$L$12,2,0)</f>
        <v>#N/A</v>
      </c>
      <c r="AD32" s="27">
        <f t="shared" si="1"/>
        <v>0</v>
      </c>
      <c r="AE32" s="16">
        <f t="shared" ref="AE32:AE38" si="9">H32*I32</f>
        <v>0</v>
      </c>
    </row>
    <row r="33" spans="1:31" hidden="1" x14ac:dyDescent="0.2">
      <c r="A33" s="470"/>
      <c r="B33" s="50"/>
      <c r="C33" s="29"/>
      <c r="D33" s="32"/>
      <c r="E33" s="48"/>
      <c r="F33" s="30"/>
      <c r="G33" s="31"/>
      <c r="H33" s="40"/>
      <c r="I33" s="37"/>
      <c r="J33" s="44"/>
      <c r="K33" s="34"/>
      <c r="L33" s="443"/>
      <c r="M33" s="443"/>
      <c r="N33" s="443"/>
      <c r="O33" s="444"/>
      <c r="P33" s="34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3"/>
      <c r="S33" s="15">
        <f t="shared" si="2"/>
        <v>0</v>
      </c>
      <c r="T33" s="28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45">
        <f t="shared" si="7"/>
        <v>0</v>
      </c>
      <c r="Z33" s="442"/>
      <c r="AA33" s="443"/>
      <c r="AB33" s="444"/>
      <c r="AC33" s="16" t="e">
        <f>VLOOKUP(D33,Paramétrage!$K$6:$L$12,2,0)</f>
        <v>#N/A</v>
      </c>
      <c r="AD33" s="27">
        <f t="shared" si="1"/>
        <v>0</v>
      </c>
      <c r="AE33" s="16">
        <f t="shared" si="9"/>
        <v>0</v>
      </c>
    </row>
    <row r="34" spans="1:31" hidden="1" x14ac:dyDescent="0.2">
      <c r="A34" s="470"/>
      <c r="B34" s="50"/>
      <c r="C34" s="29"/>
      <c r="D34" s="416"/>
      <c r="E34" s="48"/>
      <c r="F34" s="30"/>
      <c r="G34" s="31"/>
      <c r="H34" s="40"/>
      <c r="I34" s="37"/>
      <c r="J34" s="44"/>
      <c r="K34" s="34"/>
      <c r="L34" s="443"/>
      <c r="M34" s="443"/>
      <c r="N34" s="443"/>
      <c r="O34" s="444"/>
      <c r="P34" s="34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89"/>
      <c r="S34" s="15">
        <f t="shared" si="2"/>
        <v>0</v>
      </c>
      <c r="T34" s="28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45">
        <f t="shared" si="7"/>
        <v>0</v>
      </c>
      <c r="Z34" s="442"/>
      <c r="AA34" s="443"/>
      <c r="AB34" s="444"/>
      <c r="AC34" s="16" t="e">
        <f>VLOOKUP(D34,Paramétrage!$K$6:$L$12,2,0)</f>
        <v>#N/A</v>
      </c>
      <c r="AD34" s="27">
        <f t="shared" si="1"/>
        <v>0</v>
      </c>
      <c r="AE34" s="16">
        <f t="shared" ref="AE34:AE35" si="10">H34*I34</f>
        <v>0</v>
      </c>
    </row>
    <row r="35" spans="1:31" hidden="1" x14ac:dyDescent="0.2">
      <c r="A35" s="470"/>
      <c r="B35" s="50"/>
      <c r="C35" s="29"/>
      <c r="D35" s="48"/>
      <c r="E35" s="32"/>
      <c r="F35" s="30"/>
      <c r="G35" s="31"/>
      <c r="H35" s="40"/>
      <c r="I35" s="37"/>
      <c r="J35" s="44"/>
      <c r="K35" s="34"/>
      <c r="L35" s="443"/>
      <c r="M35" s="443"/>
      <c r="N35" s="443"/>
      <c r="O35" s="444"/>
      <c r="P35" s="34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2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45">
        <f t="shared" si="7"/>
        <v>0</v>
      </c>
      <c r="Z35" s="442"/>
      <c r="AA35" s="443"/>
      <c r="AB35" s="444"/>
      <c r="AC35" s="16" t="e">
        <f>VLOOKUP(D35,Paramétrage!$K$6:$L$12,2,0)</f>
        <v>#N/A</v>
      </c>
      <c r="AD35" s="27">
        <f t="shared" si="1"/>
        <v>0</v>
      </c>
      <c r="AE35" s="16">
        <f t="shared" si="10"/>
        <v>0</v>
      </c>
    </row>
    <row r="36" spans="1:31" hidden="1" x14ac:dyDescent="0.2">
      <c r="A36" s="470"/>
      <c r="B36" s="50"/>
      <c r="C36" s="29"/>
      <c r="D36" s="48"/>
      <c r="E36" s="32"/>
      <c r="F36" s="30"/>
      <c r="G36" s="31"/>
      <c r="H36" s="40"/>
      <c r="I36" s="37"/>
      <c r="J36" s="44"/>
      <c r="K36" s="34"/>
      <c r="L36" s="443"/>
      <c r="M36" s="443"/>
      <c r="N36" s="443"/>
      <c r="O36" s="444"/>
      <c r="P36" s="34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/>
      <c r="S36" s="15">
        <f t="shared" si="2"/>
        <v>0</v>
      </c>
      <c r="T36" s="28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45">
        <f t="shared" si="7"/>
        <v>0</v>
      </c>
      <c r="Z36" s="442"/>
      <c r="AA36" s="443"/>
      <c r="AB36" s="444"/>
      <c r="AC36" s="16" t="e">
        <f>VLOOKUP(D36,Paramétrage!$K$6:$L$12,2,0)</f>
        <v>#N/A</v>
      </c>
      <c r="AD36" s="27">
        <f t="shared" si="1"/>
        <v>0</v>
      </c>
      <c r="AE36" s="16">
        <f t="shared" si="9"/>
        <v>0</v>
      </c>
    </row>
    <row r="37" spans="1:31" hidden="1" x14ac:dyDescent="0.2">
      <c r="A37" s="470"/>
      <c r="B37" s="50"/>
      <c r="C37" s="29"/>
      <c r="D37" s="48"/>
      <c r="E37" s="32"/>
      <c r="F37" s="30"/>
      <c r="G37" s="31"/>
      <c r="H37" s="40"/>
      <c r="I37" s="37"/>
      <c r="J37" s="44"/>
      <c r="K37" s="34"/>
      <c r="L37" s="443"/>
      <c r="M37" s="443"/>
      <c r="N37" s="443"/>
      <c r="O37" s="444"/>
      <c r="P37" s="34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2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45">
        <f t="shared" si="7"/>
        <v>0</v>
      </c>
      <c r="Z37" s="442"/>
      <c r="AA37" s="443"/>
      <c r="AB37" s="444"/>
      <c r="AC37" s="16" t="e">
        <f>VLOOKUP(D37,Paramétrage!$K$6:$L$12,2,0)</f>
        <v>#N/A</v>
      </c>
      <c r="AD37" s="27">
        <f t="shared" si="1"/>
        <v>0</v>
      </c>
      <c r="AE37" s="16">
        <f t="shared" si="9"/>
        <v>0</v>
      </c>
    </row>
    <row r="38" spans="1:31" hidden="1" x14ac:dyDescent="0.2">
      <c r="A38" s="470"/>
      <c r="B38" s="50"/>
      <c r="C38" s="29"/>
      <c r="D38" s="48"/>
      <c r="E38" s="32"/>
      <c r="F38" s="30"/>
      <c r="G38" s="31"/>
      <c r="H38" s="40"/>
      <c r="I38" s="37"/>
      <c r="J38" s="44"/>
      <c r="K38" s="34"/>
      <c r="L38" s="443"/>
      <c r="M38" s="443"/>
      <c r="N38" s="443"/>
      <c r="O38" s="444"/>
      <c r="P38" s="34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2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45">
        <f t="shared" si="7"/>
        <v>0</v>
      </c>
      <c r="Z38" s="442"/>
      <c r="AA38" s="443"/>
      <c r="AB38" s="444"/>
      <c r="AC38" s="16" t="e">
        <f>VLOOKUP(D38,Paramétrage!$K$6:$L$12,2,0)</f>
        <v>#N/A</v>
      </c>
      <c r="AD38" s="27">
        <f t="shared" si="1"/>
        <v>0</v>
      </c>
      <c r="AE38" s="16">
        <f t="shared" si="9"/>
        <v>0</v>
      </c>
    </row>
    <row r="39" spans="1:31" hidden="1" x14ac:dyDescent="0.2">
      <c r="A39" s="470"/>
      <c r="B39" s="50"/>
      <c r="C39" s="29"/>
      <c r="D39" s="48"/>
      <c r="E39" s="32"/>
      <c r="F39" s="30"/>
      <c r="G39" s="31"/>
      <c r="H39" s="40"/>
      <c r="I39" s="37"/>
      <c r="J39" s="44"/>
      <c r="K39" s="34"/>
      <c r="L39" s="443"/>
      <c r="M39" s="443"/>
      <c r="N39" s="443"/>
      <c r="O39" s="444"/>
      <c r="P39" s="34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2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45">
        <f t="shared" si="7"/>
        <v>0</v>
      </c>
      <c r="Z39" s="442"/>
      <c r="AA39" s="443"/>
      <c r="AB39" s="444"/>
      <c r="AC39" s="16" t="e">
        <f>VLOOKUP(D39,Paramétrage!$K$6:$L$12,2,0)</f>
        <v>#N/A</v>
      </c>
      <c r="AD39" s="27">
        <f t="shared" si="1"/>
        <v>0</v>
      </c>
      <c r="AE39" s="16">
        <f t="shared" si="8"/>
        <v>0</v>
      </c>
    </row>
    <row r="40" spans="1:31" hidden="1" x14ac:dyDescent="0.2">
      <c r="A40" s="470"/>
      <c r="B40" s="50"/>
      <c r="C40" s="29"/>
      <c r="D40" s="48"/>
      <c r="E40" s="32"/>
      <c r="F40" s="30"/>
      <c r="G40" s="31"/>
      <c r="H40" s="40"/>
      <c r="I40" s="37"/>
      <c r="J40" s="44"/>
      <c r="K40" s="34"/>
      <c r="L40" s="443"/>
      <c r="M40" s="443"/>
      <c r="N40" s="443"/>
      <c r="O40" s="444"/>
      <c r="P40" s="34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2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45">
        <f t="shared" si="7"/>
        <v>0</v>
      </c>
      <c r="Z40" s="442"/>
      <c r="AA40" s="443"/>
      <c r="AB40" s="444"/>
      <c r="AC40" s="16" t="e">
        <f>VLOOKUP(D40,Paramétrage!$K$6:$L$12,2,0)</f>
        <v>#N/A</v>
      </c>
      <c r="AD40" s="27">
        <f t="shared" si="1"/>
        <v>0</v>
      </c>
      <c r="AE40" s="16">
        <f t="shared" si="8"/>
        <v>0</v>
      </c>
    </row>
    <row r="41" spans="1:31" hidden="1" x14ac:dyDescent="0.2">
      <c r="A41" s="470"/>
      <c r="B41" s="50"/>
      <c r="C41" s="29"/>
      <c r="D41" s="48"/>
      <c r="E41" s="32"/>
      <c r="F41" s="30"/>
      <c r="G41" s="31"/>
      <c r="H41" s="40"/>
      <c r="I41" s="37"/>
      <c r="J41" s="44"/>
      <c r="K41" s="34"/>
      <c r="L41" s="443"/>
      <c r="M41" s="443"/>
      <c r="N41" s="443"/>
      <c r="O41" s="444"/>
      <c r="P41" s="34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2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45">
        <f t="shared" si="7"/>
        <v>0</v>
      </c>
      <c r="Z41" s="442"/>
      <c r="AA41" s="443"/>
      <c r="AB41" s="444"/>
      <c r="AC41" s="16" t="e">
        <f>VLOOKUP(D41,Paramétrage!$K$6:$L$12,2,0)</f>
        <v>#N/A</v>
      </c>
      <c r="AD41" s="27">
        <f t="shared" si="1"/>
        <v>0</v>
      </c>
      <c r="AE41" s="16">
        <f t="shared" si="8"/>
        <v>0</v>
      </c>
    </row>
    <row r="42" spans="1:31" hidden="1" x14ac:dyDescent="0.2">
      <c r="A42" s="470"/>
      <c r="B42" s="50"/>
      <c r="C42" s="29"/>
      <c r="D42" s="48"/>
      <c r="E42" s="32"/>
      <c r="F42" s="30"/>
      <c r="G42" s="31"/>
      <c r="H42" s="40"/>
      <c r="I42" s="37"/>
      <c r="J42" s="44"/>
      <c r="K42" s="34"/>
      <c r="L42" s="443"/>
      <c r="M42" s="443"/>
      <c r="N42" s="443"/>
      <c r="O42" s="444"/>
      <c r="P42" s="34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2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45">
        <f t="shared" si="7"/>
        <v>0</v>
      </c>
      <c r="Z42" s="442"/>
      <c r="AA42" s="443"/>
      <c r="AB42" s="444"/>
      <c r="AC42" s="16" t="e">
        <f>VLOOKUP(D42,Paramétrage!$K$6:$L$12,2,0)</f>
        <v>#N/A</v>
      </c>
      <c r="AD42" s="27">
        <f t="shared" si="1"/>
        <v>0</v>
      </c>
      <c r="AE42" s="16">
        <f t="shared" si="8"/>
        <v>0</v>
      </c>
    </row>
    <row r="43" spans="1:31" hidden="1" x14ac:dyDescent="0.2">
      <c r="A43" s="470"/>
      <c r="B43" s="50"/>
      <c r="C43" s="29"/>
      <c r="D43" s="48"/>
      <c r="E43" s="32"/>
      <c r="F43" s="30"/>
      <c r="G43" s="31"/>
      <c r="H43" s="40"/>
      <c r="I43" s="37"/>
      <c r="J43" s="44"/>
      <c r="K43" s="34"/>
      <c r="L43" s="443"/>
      <c r="M43" s="443"/>
      <c r="N43" s="443"/>
      <c r="O43" s="444"/>
      <c r="P43" s="34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2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45">
        <f t="shared" si="7"/>
        <v>0</v>
      </c>
      <c r="Z43" s="442"/>
      <c r="AA43" s="443"/>
      <c r="AB43" s="444"/>
      <c r="AC43" s="16" t="e">
        <f>VLOOKUP(D43,Paramétrage!$K$6:$L$12,2,0)</f>
        <v>#N/A</v>
      </c>
      <c r="AD43" s="27">
        <f t="shared" si="1"/>
        <v>0</v>
      </c>
      <c r="AE43" s="16">
        <f t="shared" ref="AE43:AE48" si="11">H43*I43</f>
        <v>0</v>
      </c>
    </row>
    <row r="44" spans="1:31" hidden="1" x14ac:dyDescent="0.2">
      <c r="A44" s="470"/>
      <c r="B44" s="51"/>
      <c r="C44" s="29"/>
      <c r="D44" s="48"/>
      <c r="E44" s="32"/>
      <c r="F44" s="30"/>
      <c r="G44" s="31"/>
      <c r="H44" s="40"/>
      <c r="I44" s="37"/>
      <c r="J44" s="44"/>
      <c r="K44" s="34"/>
      <c r="L44" s="443"/>
      <c r="M44" s="443"/>
      <c r="N44" s="443"/>
      <c r="O44" s="444"/>
      <c r="P44" s="34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2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45">
        <f t="shared" si="7"/>
        <v>0</v>
      </c>
      <c r="Z44" s="442"/>
      <c r="AA44" s="443"/>
      <c r="AB44" s="444"/>
      <c r="AC44" s="16" t="e">
        <f>VLOOKUP(D44,Paramétrage!$K$6:$L$12,2,0)</f>
        <v>#N/A</v>
      </c>
      <c r="AD44" s="27">
        <f t="shared" si="1"/>
        <v>0</v>
      </c>
      <c r="AE44" s="16">
        <f t="shared" si="11"/>
        <v>0</v>
      </c>
    </row>
    <row r="45" spans="1:31" hidden="1" x14ac:dyDescent="0.2">
      <c r="A45" s="470"/>
      <c r="B45" s="50"/>
      <c r="C45" s="29"/>
      <c r="D45" s="48"/>
      <c r="E45" s="32"/>
      <c r="F45" s="30"/>
      <c r="G45" s="31"/>
      <c r="H45" s="40"/>
      <c r="I45" s="37"/>
      <c r="J45" s="44"/>
      <c r="K45" s="34"/>
      <c r="L45" s="443"/>
      <c r="M45" s="443"/>
      <c r="N45" s="443"/>
      <c r="O45" s="444"/>
      <c r="P45" s="34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2"/>
        <v>0</v>
      </c>
      <c r="T45" s="28">
        <f>IF(G45="",0,IF(ISERROR(R45+Q45*VLOOKUP(G45,Paramétrage!$D$6:$F$27,3,0))=TRUE,S45,R45+Q45*VLOOKUP(G45,Paramétrage!$D$6:$F$27,3,0)))</f>
        <v>0</v>
      </c>
      <c r="U45" s="37"/>
      <c r="V45" s="37"/>
      <c r="W45" s="37"/>
      <c r="X45" s="37"/>
      <c r="Y45" s="345">
        <f t="shared" si="7"/>
        <v>0</v>
      </c>
      <c r="Z45" s="442"/>
      <c r="AA45" s="443"/>
      <c r="AB45" s="444"/>
      <c r="AC45" s="16" t="e">
        <f>VLOOKUP(D45,Paramétrage!$K$6:$L$12,2,0)</f>
        <v>#N/A</v>
      </c>
      <c r="AD45" s="27">
        <f t="shared" si="1"/>
        <v>0</v>
      </c>
      <c r="AE45" s="16">
        <f t="shared" si="11"/>
        <v>0</v>
      </c>
    </row>
    <row r="46" spans="1:31" hidden="1" x14ac:dyDescent="0.2">
      <c r="A46" s="470"/>
      <c r="B46" s="50"/>
      <c r="C46" s="29"/>
      <c r="D46" s="48"/>
      <c r="E46" s="32"/>
      <c r="F46" s="30"/>
      <c r="G46" s="31"/>
      <c r="H46" s="40"/>
      <c r="I46" s="37"/>
      <c r="J46" s="44"/>
      <c r="K46" s="34"/>
      <c r="L46" s="443"/>
      <c r="M46" s="443"/>
      <c r="N46" s="443"/>
      <c r="O46" s="444"/>
      <c r="P46" s="34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2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45">
        <f t="shared" si="7"/>
        <v>0</v>
      </c>
      <c r="Z46" s="442"/>
      <c r="AA46" s="443"/>
      <c r="AB46" s="444"/>
      <c r="AC46" s="16" t="e">
        <f>VLOOKUP(D46,Paramétrage!$K$6:$L$12,2,0)</f>
        <v>#N/A</v>
      </c>
      <c r="AD46" s="27">
        <f t="shared" si="1"/>
        <v>0</v>
      </c>
      <c r="AE46" s="16">
        <f t="shared" si="11"/>
        <v>0</v>
      </c>
    </row>
    <row r="47" spans="1:31" hidden="1" x14ac:dyDescent="0.2">
      <c r="A47" s="470"/>
      <c r="B47" s="50"/>
      <c r="C47" s="29"/>
      <c r="D47" s="48"/>
      <c r="E47" s="32"/>
      <c r="F47" s="30"/>
      <c r="G47" s="31"/>
      <c r="H47" s="40"/>
      <c r="I47" s="37"/>
      <c r="J47" s="44"/>
      <c r="K47" s="34"/>
      <c r="L47" s="443"/>
      <c r="M47" s="443"/>
      <c r="N47" s="443"/>
      <c r="O47" s="444"/>
      <c r="P47" s="34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2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45">
        <f t="shared" si="7"/>
        <v>0</v>
      </c>
      <c r="Z47" s="442"/>
      <c r="AA47" s="443"/>
      <c r="AB47" s="444"/>
      <c r="AC47" s="16" t="e">
        <f>VLOOKUP(D47,Paramétrage!$K$6:$L$12,2,0)</f>
        <v>#N/A</v>
      </c>
      <c r="AD47" s="27">
        <f t="shared" si="1"/>
        <v>0</v>
      </c>
      <c r="AE47" s="16">
        <f t="shared" si="11"/>
        <v>0</v>
      </c>
    </row>
    <row r="48" spans="1:31" x14ac:dyDescent="0.2">
      <c r="A48" s="470"/>
      <c r="B48" s="50"/>
      <c r="C48" s="29"/>
      <c r="D48" s="48"/>
      <c r="E48" s="32"/>
      <c r="F48" s="30"/>
      <c r="G48" s="31"/>
      <c r="H48" s="40"/>
      <c r="I48" s="37"/>
      <c r="J48" s="44"/>
      <c r="K48" s="34"/>
      <c r="L48" s="443"/>
      <c r="M48" s="443"/>
      <c r="N48" s="443"/>
      <c r="O48" s="444"/>
      <c r="P48" s="344">
        <f>IF(OR(J48="",G48=Paramétrage!$D$9,G48=Paramétrage!$D$12,G48=Paramétrage!$D$15,G48=Paramétrage!$D$18,G48=Paramétrage!$D$22,G48=Paramétrage!$D$25,AND(G48&lt;&gt;Paramétrage!$D$9,K48="Mut+ext")),0,ROUNDUP(I48/J48,0))</f>
        <v>0</v>
      </c>
      <c r="Q48" s="17">
        <f>IF(OR(G48="",K48="Mut+ext"),0,IF(VLOOKUP(G48,Paramétrage!$D$6:$F$27,3,0)=0,0,IF(J48="","saisir capacité",H48*P48*VLOOKUP(G48,Paramétrage!$D$6:$F$27,2,0))))</f>
        <v>0</v>
      </c>
      <c r="R48" s="33"/>
      <c r="S48" s="15">
        <f t="shared" si="2"/>
        <v>0</v>
      </c>
      <c r="T48" s="28">
        <f>IF(G48="",0,IF(ISERROR(R48+Q48*VLOOKUP(G48,Paramétrage!$D$6:$F$27,3,0))=TRUE,S48,R48+Q48*VLOOKUP(G48,Paramétrage!$D$6:$F$27,3,0)))</f>
        <v>0</v>
      </c>
      <c r="U48" s="37"/>
      <c r="V48" s="37"/>
      <c r="W48" s="37"/>
      <c r="X48" s="37"/>
      <c r="Y48" s="345">
        <f t="shared" si="7"/>
        <v>0</v>
      </c>
      <c r="Z48" s="442"/>
      <c r="AA48" s="443"/>
      <c r="AB48" s="444"/>
      <c r="AC48" s="16" t="e">
        <f>VLOOKUP(D48,Paramétrage!$K$6:$L$12,2,0)</f>
        <v>#N/A</v>
      </c>
      <c r="AD48" s="27">
        <f t="shared" si="1"/>
        <v>0</v>
      </c>
      <c r="AE48" s="16">
        <f t="shared" si="11"/>
        <v>0</v>
      </c>
    </row>
    <row r="49" spans="1:31" ht="16.5" thickBot="1" x14ac:dyDescent="0.25">
      <c r="A49" s="471"/>
      <c r="B49" s="52"/>
      <c r="C49" s="61"/>
      <c r="D49" s="19"/>
      <c r="E49" s="383"/>
      <c r="F49" s="20"/>
      <c r="G49" s="18"/>
      <c r="H49" s="46">
        <f>AD49</f>
        <v>206</v>
      </c>
      <c r="I49" s="41"/>
      <c r="J49" s="45"/>
      <c r="K49" s="49"/>
      <c r="L49" s="57"/>
      <c r="M49" s="57"/>
      <c r="N49" s="57"/>
      <c r="O49" s="58"/>
      <c r="P49" s="371"/>
      <c r="Q49" s="372">
        <f>SUM(Q9:Q48)</f>
        <v>176</v>
      </c>
      <c r="R49" s="340">
        <f>SUM(R9:R48)</f>
        <v>30</v>
      </c>
      <c r="S49" s="373">
        <f>SUM(S9:S48)</f>
        <v>206</v>
      </c>
      <c r="T49" s="62">
        <f>SUM(T9:T48)</f>
        <v>206</v>
      </c>
      <c r="U49" s="373">
        <f t="shared" ref="U49:Y49" si="12">SUM(U9:U48)</f>
        <v>97</v>
      </c>
      <c r="V49" s="373">
        <f t="shared" si="12"/>
        <v>0</v>
      </c>
      <c r="W49" s="373">
        <f t="shared" si="12"/>
        <v>109</v>
      </c>
      <c r="X49" s="373">
        <f t="shared" si="12"/>
        <v>0</v>
      </c>
      <c r="Y49" s="373">
        <f t="shared" si="12"/>
        <v>206</v>
      </c>
      <c r="Z49" s="350"/>
      <c r="AA49" s="59"/>
      <c r="AB49" s="351"/>
      <c r="AC49" s="26"/>
      <c r="AD49" s="60">
        <f>SUM(AD9:AD48)</f>
        <v>206</v>
      </c>
      <c r="AE49" s="26">
        <f>SUM(AE9:AE48)</f>
        <v>4944</v>
      </c>
    </row>
    <row r="50" spans="1:31" x14ac:dyDescent="0.2">
      <c r="A50" s="469" t="s">
        <v>55</v>
      </c>
      <c r="B50" s="440" t="s">
        <v>289</v>
      </c>
      <c r="C50" s="29" t="s">
        <v>290</v>
      </c>
      <c r="D50" s="29" t="s">
        <v>212</v>
      </c>
      <c r="E50" s="48" t="s">
        <v>287</v>
      </c>
      <c r="F50" s="30"/>
      <c r="G50" s="31" t="s">
        <v>206</v>
      </c>
      <c r="H50" s="40">
        <v>20</v>
      </c>
      <c r="I50" s="37">
        <v>24</v>
      </c>
      <c r="J50" s="44">
        <v>24</v>
      </c>
      <c r="K50" s="34" t="s">
        <v>288</v>
      </c>
      <c r="L50" s="443"/>
      <c r="M50" s="443"/>
      <c r="N50" s="443"/>
      <c r="O50" s="444"/>
      <c r="P50" s="34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20</v>
      </c>
      <c r="R50" s="53"/>
      <c r="S50" s="15">
        <f t="shared" si="2"/>
        <v>20</v>
      </c>
      <c r="T50" s="54">
        <f>IF(G50="",0,IF(ISERROR(R50+Q50*VLOOKUP(G50,Paramétrage!$D$6:$F$27,3,0))=TRUE,S50,R50+Q50*VLOOKUP(G50,Paramétrage!$D$6:$F$27,3,0)))</f>
        <v>20</v>
      </c>
      <c r="U50" s="33">
        <f>S50</f>
        <v>20</v>
      </c>
      <c r="V50" s="36"/>
      <c r="W50" s="36"/>
      <c r="X50" s="36"/>
      <c r="Y50" s="345">
        <f>SUM(U50:X50)</f>
        <v>20</v>
      </c>
      <c r="Z50" s="445"/>
      <c r="AA50" s="446"/>
      <c r="AB50" s="447"/>
      <c r="AC50" s="16">
        <f>VLOOKUP(D50,Paramétrage!$K$6:$L$12,2,0)</f>
        <v>2</v>
      </c>
      <c r="AD50" s="55">
        <f t="shared" ref="AD50:AD89" si="13">IF(B50="",0,IF(E50="",0,IF(SUMIF($B$50:$B$89,B50,$I$50:$I$89)=0,0,IF(E50="Obligatoire",AE50/I50,IF(F50="",AE50/SUMIF($B$50:$B$89,B50,$I$50:$I$89),AE50/(SUMIF($B$50:$B$89,B50,$I$50:$I$89)/F50))))))</f>
        <v>20</v>
      </c>
      <c r="AE50" s="56">
        <f>H50*I50</f>
        <v>480</v>
      </c>
    </row>
    <row r="51" spans="1:31" x14ac:dyDescent="0.2">
      <c r="A51" s="470"/>
      <c r="B51" s="440" t="s">
        <v>291</v>
      </c>
      <c r="C51" s="29" t="s">
        <v>292</v>
      </c>
      <c r="D51" s="29" t="s">
        <v>212</v>
      </c>
      <c r="E51" s="48" t="s">
        <v>287</v>
      </c>
      <c r="F51" s="30"/>
      <c r="G51" s="31" t="s">
        <v>206</v>
      </c>
      <c r="H51" s="40">
        <v>30</v>
      </c>
      <c r="I51" s="37">
        <v>24</v>
      </c>
      <c r="J51" s="44">
        <v>24</v>
      </c>
      <c r="K51" s="34" t="s">
        <v>288</v>
      </c>
      <c r="L51" s="443"/>
      <c r="M51" s="443"/>
      <c r="N51" s="443"/>
      <c r="O51" s="444"/>
      <c r="P51" s="344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30</v>
      </c>
      <c r="R51" s="389"/>
      <c r="S51" s="15">
        <f t="shared" si="2"/>
        <v>30</v>
      </c>
      <c r="T51" s="28">
        <f>IF(G51="",0,IF(ISERROR(R51+Q51*VLOOKUP(G51,Paramétrage!$D$6:$F$27,3,0))=TRUE,S51,R51+Q51*VLOOKUP(G51,Paramétrage!$D$6:$F$27,3,0)))</f>
        <v>30</v>
      </c>
      <c r="U51" s="33">
        <f>S51</f>
        <v>30</v>
      </c>
      <c r="V51" s="37"/>
      <c r="W51" s="37"/>
      <c r="X51" s="37"/>
      <c r="Y51" s="345">
        <f t="shared" ref="Y51:Y69" si="14">SUM(U51:X51)</f>
        <v>30</v>
      </c>
      <c r="Z51" s="442"/>
      <c r="AA51" s="443"/>
      <c r="AB51" s="444"/>
      <c r="AC51" s="16">
        <f>VLOOKUP(D51,Paramétrage!$K$6:$L$12,2,0)</f>
        <v>2</v>
      </c>
      <c r="AD51" s="27">
        <f t="shared" si="13"/>
        <v>30</v>
      </c>
      <c r="AE51" s="16">
        <f>H51*I51</f>
        <v>720</v>
      </c>
    </row>
    <row r="52" spans="1:31" x14ac:dyDescent="0.2">
      <c r="A52" s="470"/>
      <c r="B52" s="440" t="s">
        <v>293</v>
      </c>
      <c r="C52" s="29" t="s">
        <v>294</v>
      </c>
      <c r="D52" s="29" t="s">
        <v>212</v>
      </c>
      <c r="E52" s="48" t="s">
        <v>287</v>
      </c>
      <c r="F52" s="30"/>
      <c r="G52" s="31" t="s">
        <v>206</v>
      </c>
      <c r="H52" s="40">
        <v>20</v>
      </c>
      <c r="I52" s="37">
        <v>24</v>
      </c>
      <c r="J52" s="44">
        <v>24</v>
      </c>
      <c r="K52" s="34" t="s">
        <v>288</v>
      </c>
      <c r="L52" s="443"/>
      <c r="M52" s="443"/>
      <c r="N52" s="443"/>
      <c r="O52" s="444"/>
      <c r="P52" s="344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20</v>
      </c>
      <c r="R52" s="33"/>
      <c r="S52" s="15">
        <f t="shared" si="2"/>
        <v>20</v>
      </c>
      <c r="T52" s="28">
        <f>IF(G52="",0,IF(ISERROR(R52+Q52*VLOOKUP(G52,Paramétrage!$D$6:$F$27,3,0))=TRUE,S52,R52+Q52*VLOOKUP(G52,Paramétrage!$D$6:$F$27,3,0)))</f>
        <v>20</v>
      </c>
      <c r="U52" s="33"/>
      <c r="V52" s="37"/>
      <c r="W52" s="37">
        <f>S52</f>
        <v>20</v>
      </c>
      <c r="X52" s="37"/>
      <c r="Y52" s="345">
        <f t="shared" si="14"/>
        <v>20</v>
      </c>
      <c r="Z52" s="442"/>
      <c r="AA52" s="443"/>
      <c r="AB52" s="444"/>
      <c r="AC52" s="16">
        <f>VLOOKUP(D52,Paramétrage!$K$6:$L$12,2,0)</f>
        <v>2</v>
      </c>
      <c r="AD52" s="27">
        <f t="shared" si="13"/>
        <v>20</v>
      </c>
      <c r="AE52" s="16">
        <f t="shared" ref="AE52:AE63" si="15">H52*I52</f>
        <v>480</v>
      </c>
    </row>
    <row r="53" spans="1:31" x14ac:dyDescent="0.2">
      <c r="A53" s="470"/>
      <c r="B53" s="440" t="s">
        <v>295</v>
      </c>
      <c r="C53" s="29" t="s">
        <v>296</v>
      </c>
      <c r="D53" s="29" t="s">
        <v>212</v>
      </c>
      <c r="E53" s="48" t="s">
        <v>310</v>
      </c>
      <c r="F53" s="30">
        <v>1</v>
      </c>
      <c r="G53" s="31" t="s">
        <v>206</v>
      </c>
      <c r="H53" s="40">
        <v>20</v>
      </c>
      <c r="I53" s="37">
        <v>12</v>
      </c>
      <c r="J53" s="44">
        <v>24</v>
      </c>
      <c r="K53" s="34" t="s">
        <v>288</v>
      </c>
      <c r="L53" s="443"/>
      <c r="M53" s="443"/>
      <c r="N53" s="443"/>
      <c r="O53" s="444"/>
      <c r="P53" s="344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20</v>
      </c>
      <c r="R53" s="33"/>
      <c r="S53" s="15">
        <f t="shared" si="2"/>
        <v>20</v>
      </c>
      <c r="T53" s="28">
        <f>IF(G53="",0,IF(ISERROR(R53+Q53*VLOOKUP(G53,Paramétrage!$D$6:$F$27,3,0))=TRUE,S53,R53+Q53*VLOOKUP(G53,Paramétrage!$D$6:$F$27,3,0)))</f>
        <v>20</v>
      </c>
      <c r="U53" s="33"/>
      <c r="V53" s="37"/>
      <c r="W53" s="37">
        <f>S53</f>
        <v>20</v>
      </c>
      <c r="X53" s="37"/>
      <c r="Y53" s="345">
        <f t="shared" si="14"/>
        <v>20</v>
      </c>
      <c r="Z53" s="442"/>
      <c r="AA53" s="443"/>
      <c r="AB53" s="444"/>
      <c r="AC53" s="16">
        <f>VLOOKUP(D53,Paramétrage!$K$6:$L$12,2,0)</f>
        <v>2</v>
      </c>
      <c r="AD53" s="27">
        <f t="shared" si="13"/>
        <v>10</v>
      </c>
      <c r="AE53" s="16">
        <f t="shared" si="15"/>
        <v>240</v>
      </c>
    </row>
    <row r="54" spans="1:31" x14ac:dyDescent="0.2">
      <c r="A54" s="470"/>
      <c r="B54" s="440" t="s">
        <v>297</v>
      </c>
      <c r="C54" s="29" t="s">
        <v>298</v>
      </c>
      <c r="D54" s="29" t="s">
        <v>212</v>
      </c>
      <c r="E54" s="48" t="s">
        <v>310</v>
      </c>
      <c r="F54" s="30">
        <v>1</v>
      </c>
      <c r="G54" s="31" t="s">
        <v>206</v>
      </c>
      <c r="H54" s="40">
        <v>20</v>
      </c>
      <c r="I54" s="37">
        <v>12</v>
      </c>
      <c r="J54" s="44">
        <v>24</v>
      </c>
      <c r="K54" s="34" t="s">
        <v>315</v>
      </c>
      <c r="L54" s="443" t="s">
        <v>314</v>
      </c>
      <c r="M54" s="443"/>
      <c r="N54" s="443"/>
      <c r="O54" s="444"/>
      <c r="P54" s="344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3"/>
      <c r="S54" s="15">
        <f t="shared" si="2"/>
        <v>0</v>
      </c>
      <c r="T54" s="28">
        <f>IF(G54="",0,IF(ISERROR(R54+Q54*VLOOKUP(G54,Paramétrage!$D$6:$F$27,3,0))=TRUE,S54,R54+Q54*VLOOKUP(G54,Paramétrage!$D$6:$F$27,3,0)))</f>
        <v>0</v>
      </c>
      <c r="U54" s="33"/>
      <c r="V54" s="37"/>
      <c r="W54" s="37"/>
      <c r="X54" s="37"/>
      <c r="Y54" s="345">
        <f t="shared" si="14"/>
        <v>0</v>
      </c>
      <c r="Z54" s="442"/>
      <c r="AA54" s="443"/>
      <c r="AB54" s="444"/>
      <c r="AC54" s="16">
        <f>VLOOKUP(D54,Paramétrage!$K$6:$L$12,2,0)</f>
        <v>2</v>
      </c>
      <c r="AD54" s="27">
        <f t="shared" si="13"/>
        <v>10</v>
      </c>
      <c r="AE54" s="16">
        <f t="shared" si="15"/>
        <v>240</v>
      </c>
    </row>
    <row r="55" spans="1:31" x14ac:dyDescent="0.2">
      <c r="A55" s="470"/>
      <c r="B55" s="440" t="s">
        <v>299</v>
      </c>
      <c r="C55" s="29" t="s">
        <v>300</v>
      </c>
      <c r="D55" s="29" t="s">
        <v>212</v>
      </c>
      <c r="E55" s="48" t="s">
        <v>310</v>
      </c>
      <c r="F55" s="30">
        <v>1</v>
      </c>
      <c r="G55" s="31" t="s">
        <v>206</v>
      </c>
      <c r="H55" s="40">
        <v>30</v>
      </c>
      <c r="I55" s="37">
        <v>12</v>
      </c>
      <c r="J55" s="44">
        <v>24</v>
      </c>
      <c r="K55" s="34" t="s">
        <v>288</v>
      </c>
      <c r="L55" s="443"/>
      <c r="M55" s="443"/>
      <c r="N55" s="443"/>
      <c r="O55" s="444"/>
      <c r="P55" s="344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30</v>
      </c>
      <c r="R55" s="33"/>
      <c r="S55" s="15">
        <f t="shared" si="2"/>
        <v>30</v>
      </c>
      <c r="T55" s="28">
        <f>IF(G55="",0,IF(ISERROR(R55+Q55*VLOOKUP(G55,Paramétrage!$D$6:$F$27,3,0))=TRUE,S55,R55+Q55*VLOOKUP(G55,Paramétrage!$D$6:$F$27,3,0)))</f>
        <v>30</v>
      </c>
      <c r="U55" s="33"/>
      <c r="V55" s="37"/>
      <c r="W55" s="37">
        <f>S55</f>
        <v>30</v>
      </c>
      <c r="X55" s="37"/>
      <c r="Y55" s="345">
        <f t="shared" si="14"/>
        <v>30</v>
      </c>
      <c r="Z55" s="442"/>
      <c r="AA55" s="443"/>
      <c r="AB55" s="444"/>
      <c r="AC55" s="16">
        <f>VLOOKUP(D55,Paramétrage!$K$6:$L$12,2,0)</f>
        <v>2</v>
      </c>
      <c r="AD55" s="27">
        <f t="shared" si="13"/>
        <v>15</v>
      </c>
      <c r="AE55" s="16">
        <f t="shared" si="15"/>
        <v>360</v>
      </c>
    </row>
    <row r="56" spans="1:31" x14ac:dyDescent="0.2">
      <c r="A56" s="470"/>
      <c r="B56" s="440" t="s">
        <v>295</v>
      </c>
      <c r="C56" s="29" t="s">
        <v>301</v>
      </c>
      <c r="D56" s="29" t="s">
        <v>212</v>
      </c>
      <c r="E56" s="48" t="s">
        <v>310</v>
      </c>
      <c r="F56" s="30">
        <v>1</v>
      </c>
      <c r="G56" s="31" t="s">
        <v>206</v>
      </c>
      <c r="H56" s="40">
        <v>20</v>
      </c>
      <c r="I56" s="37">
        <v>12</v>
      </c>
      <c r="J56" s="44">
        <v>24</v>
      </c>
      <c r="K56" s="34" t="s">
        <v>288</v>
      </c>
      <c r="L56" s="443"/>
      <c r="M56" s="443"/>
      <c r="N56" s="443"/>
      <c r="O56" s="444"/>
      <c r="P56" s="344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20</v>
      </c>
      <c r="R56" s="33"/>
      <c r="S56" s="15">
        <f t="shared" si="2"/>
        <v>20</v>
      </c>
      <c r="T56" s="28">
        <f>IF(G56="",0,IF(ISERROR(R56+Q56*VLOOKUP(G56,Paramétrage!$D$6:$F$27,3,0))=TRUE,S56,R56+Q56*VLOOKUP(G56,Paramétrage!$D$6:$F$27,3,0)))</f>
        <v>20</v>
      </c>
      <c r="U56" s="33">
        <f>S56</f>
        <v>20</v>
      </c>
      <c r="V56" s="37"/>
      <c r="W56" s="37"/>
      <c r="X56" s="37"/>
      <c r="Y56" s="345">
        <f t="shared" si="14"/>
        <v>20</v>
      </c>
      <c r="Z56" s="442"/>
      <c r="AA56" s="443"/>
      <c r="AB56" s="444"/>
      <c r="AC56" s="16">
        <f>VLOOKUP(D56,Paramétrage!$K$6:$L$12,2,0)</f>
        <v>2</v>
      </c>
      <c r="AD56" s="27">
        <f t="shared" si="13"/>
        <v>10</v>
      </c>
      <c r="AE56" s="16">
        <f t="shared" si="15"/>
        <v>240</v>
      </c>
    </row>
    <row r="57" spans="1:31" x14ac:dyDescent="0.2">
      <c r="A57" s="470"/>
      <c r="B57" s="440" t="s">
        <v>297</v>
      </c>
      <c r="C57" s="29" t="s">
        <v>302</v>
      </c>
      <c r="D57" s="29" t="s">
        <v>212</v>
      </c>
      <c r="E57" s="48" t="s">
        <v>310</v>
      </c>
      <c r="F57" s="30">
        <v>1</v>
      </c>
      <c r="G57" s="31" t="s">
        <v>206</v>
      </c>
      <c r="H57" s="40">
        <v>20</v>
      </c>
      <c r="I57" s="37">
        <v>12</v>
      </c>
      <c r="J57" s="44">
        <v>24</v>
      </c>
      <c r="K57" s="34" t="s">
        <v>288</v>
      </c>
      <c r="L57" s="443"/>
      <c r="M57" s="443"/>
      <c r="N57" s="443"/>
      <c r="O57" s="444"/>
      <c r="P57" s="344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20</v>
      </c>
      <c r="R57" s="33"/>
      <c r="S57" s="15">
        <f t="shared" si="2"/>
        <v>20</v>
      </c>
      <c r="T57" s="28">
        <f>IF(G57="",0,IF(ISERROR(R57+Q57*VLOOKUP(G57,Paramétrage!$D$6:$F$27,3,0))=TRUE,S57,R57+Q57*VLOOKUP(G57,Paramétrage!$D$6:$F$27,3,0)))</f>
        <v>20</v>
      </c>
      <c r="U57" s="33"/>
      <c r="V57" s="390"/>
      <c r="W57" s="390">
        <f>S57</f>
        <v>20</v>
      </c>
      <c r="X57" s="37"/>
      <c r="Y57" s="345">
        <f t="shared" si="14"/>
        <v>20</v>
      </c>
      <c r="Z57" s="442"/>
      <c r="AA57" s="443"/>
      <c r="AB57" s="444"/>
      <c r="AC57" s="16">
        <f>VLOOKUP(D57,Paramétrage!$K$6:$L$12,2,0)</f>
        <v>2</v>
      </c>
      <c r="AD57" s="27">
        <f t="shared" si="13"/>
        <v>10</v>
      </c>
      <c r="AE57" s="16">
        <f t="shared" si="15"/>
        <v>240</v>
      </c>
    </row>
    <row r="58" spans="1:31" x14ac:dyDescent="0.2">
      <c r="A58" s="470"/>
      <c r="B58" s="440" t="s">
        <v>299</v>
      </c>
      <c r="C58" s="29" t="s">
        <v>303</v>
      </c>
      <c r="D58" s="29" t="s">
        <v>212</v>
      </c>
      <c r="E58" s="48" t="s">
        <v>310</v>
      </c>
      <c r="F58" s="30">
        <v>1</v>
      </c>
      <c r="G58" s="31" t="s">
        <v>206</v>
      </c>
      <c r="H58" s="40">
        <v>30</v>
      </c>
      <c r="I58" s="37">
        <v>12</v>
      </c>
      <c r="J58" s="44">
        <v>24</v>
      </c>
      <c r="K58" s="34" t="s">
        <v>288</v>
      </c>
      <c r="L58" s="443"/>
      <c r="M58" s="443"/>
      <c r="N58" s="443"/>
      <c r="O58" s="444"/>
      <c r="P58" s="344">
        <f>IF(OR(J58="",G58=Paramétrage!$D$9,G58=Paramétrage!$D$12,G58=Paramétrage!$D$15,G58=Paramétrage!$D$18,G58=Paramétrage!$D$22,G58=Paramétrage!$D$25,AND(G58&lt;&gt;Paramétrage!$D$9,K58="Mut+ext")),0,ROUNDUP(I58/J58,0))</f>
        <v>1</v>
      </c>
      <c r="Q58" s="17">
        <f>IF(OR(G58="",K58="Mut+ext"),0,IF(VLOOKUP(G58,Paramétrage!$D$6:$F$27,3,0)=0,0,IF(J58="","saisir capacité",H58*P58*VLOOKUP(G58,Paramétrage!$D$6:$F$27,2,0))))</f>
        <v>30</v>
      </c>
      <c r="R58" s="33"/>
      <c r="S58" s="15">
        <f t="shared" si="2"/>
        <v>30</v>
      </c>
      <c r="T58" s="28">
        <f>IF(G58="",0,IF(ISERROR(R58+Q58*VLOOKUP(G58,Paramétrage!$D$6:$F$27,3,0))=TRUE,S58,R58+Q58*VLOOKUP(G58,Paramétrage!$D$6:$F$27,3,0)))</f>
        <v>30</v>
      </c>
      <c r="U58" s="33"/>
      <c r="V58" s="37"/>
      <c r="W58" s="37">
        <f>S58</f>
        <v>30</v>
      </c>
      <c r="X58" s="37"/>
      <c r="Y58" s="345">
        <f t="shared" si="14"/>
        <v>30</v>
      </c>
      <c r="Z58" s="442"/>
      <c r="AA58" s="443"/>
      <c r="AB58" s="444"/>
      <c r="AC58" s="16">
        <f>VLOOKUP(D58,Paramétrage!$K$6:$L$12,2,0)</f>
        <v>2</v>
      </c>
      <c r="AD58" s="27">
        <f t="shared" si="13"/>
        <v>15</v>
      </c>
      <c r="AE58" s="16">
        <f t="shared" si="15"/>
        <v>360</v>
      </c>
    </row>
    <row r="59" spans="1:31" x14ac:dyDescent="0.2">
      <c r="A59" s="470"/>
      <c r="B59" s="440" t="s">
        <v>304</v>
      </c>
      <c r="C59" s="29" t="s">
        <v>280</v>
      </c>
      <c r="D59" s="29" t="s">
        <v>212</v>
      </c>
      <c r="E59" s="48" t="s">
        <v>287</v>
      </c>
      <c r="F59" s="30"/>
      <c r="G59" s="31" t="s">
        <v>206</v>
      </c>
      <c r="H59" s="40">
        <v>10</v>
      </c>
      <c r="I59" s="37">
        <v>24</v>
      </c>
      <c r="J59" s="44">
        <v>24</v>
      </c>
      <c r="K59" s="34" t="s">
        <v>288</v>
      </c>
      <c r="L59" s="443"/>
      <c r="M59" s="443"/>
      <c r="N59" s="443"/>
      <c r="O59" s="444"/>
      <c r="P59" s="344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10</v>
      </c>
      <c r="R59" s="33"/>
      <c r="S59" s="15">
        <f t="shared" si="2"/>
        <v>10</v>
      </c>
      <c r="T59" s="28">
        <f>IF(G59="",0,IF(ISERROR(R59+Q59*VLOOKUP(G59,Paramétrage!$D$6:$F$27,3,0))=TRUE,S59,R59+Q59*VLOOKUP(G59,Paramétrage!$D$6:$F$27,3,0)))</f>
        <v>10</v>
      </c>
      <c r="U59" s="33"/>
      <c r="V59" s="37"/>
      <c r="W59" s="37">
        <f>S59</f>
        <v>10</v>
      </c>
      <c r="X59" s="37"/>
      <c r="Y59" s="345">
        <f t="shared" si="14"/>
        <v>10</v>
      </c>
      <c r="Z59" s="442"/>
      <c r="AA59" s="443"/>
      <c r="AB59" s="444"/>
      <c r="AC59" s="16">
        <f>VLOOKUP(D59,Paramétrage!$K$6:$L$12,2,0)</f>
        <v>2</v>
      </c>
      <c r="AD59" s="27">
        <f t="shared" si="13"/>
        <v>10</v>
      </c>
      <c r="AE59" s="16">
        <f t="shared" si="15"/>
        <v>240</v>
      </c>
    </row>
    <row r="60" spans="1:31" x14ac:dyDescent="0.2">
      <c r="A60" s="470"/>
      <c r="B60" s="440" t="s">
        <v>305</v>
      </c>
      <c r="C60" s="29" t="s">
        <v>282</v>
      </c>
      <c r="D60" s="29" t="s">
        <v>212</v>
      </c>
      <c r="E60" s="48" t="s">
        <v>287</v>
      </c>
      <c r="F60" s="30"/>
      <c r="G60" s="31" t="s">
        <v>237</v>
      </c>
      <c r="H60" s="40">
        <v>30</v>
      </c>
      <c r="I60" s="37">
        <v>24</v>
      </c>
      <c r="J60" s="44">
        <v>24</v>
      </c>
      <c r="K60" s="34" t="s">
        <v>288</v>
      </c>
      <c r="L60" s="443"/>
      <c r="M60" s="443"/>
      <c r="N60" s="443"/>
      <c r="O60" s="444"/>
      <c r="P60" s="344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3">
        <v>48</v>
      </c>
      <c r="S60" s="15">
        <f t="shared" si="2"/>
        <v>48</v>
      </c>
      <c r="T60" s="28">
        <f>IF(G60="",0,IF(ISERROR(R60+Q60*VLOOKUP(G60,Paramétrage!$D$6:$F$27,3,0))=TRUE,S60,R60+Q60*VLOOKUP(G60,Paramétrage!$D$6:$F$27,3,0)))</f>
        <v>48</v>
      </c>
      <c r="U60" s="33">
        <v>24</v>
      </c>
      <c r="V60" s="37"/>
      <c r="W60" s="37">
        <v>24</v>
      </c>
      <c r="X60" s="37"/>
      <c r="Y60" s="345">
        <f t="shared" si="14"/>
        <v>48</v>
      </c>
      <c r="Z60" s="442"/>
      <c r="AA60" s="443"/>
      <c r="AB60" s="444"/>
      <c r="AC60" s="16">
        <f>VLOOKUP(D60,Paramétrage!$K$6:$L$12,2,0)</f>
        <v>2</v>
      </c>
      <c r="AD60" s="27">
        <f t="shared" si="13"/>
        <v>30</v>
      </c>
      <c r="AE60" s="16">
        <f t="shared" si="15"/>
        <v>720</v>
      </c>
    </row>
    <row r="61" spans="1:31" x14ac:dyDescent="0.2">
      <c r="A61" s="470"/>
      <c r="B61" s="440" t="s">
        <v>306</v>
      </c>
      <c r="C61" s="29" t="s">
        <v>284</v>
      </c>
      <c r="D61" s="29" t="s">
        <v>212</v>
      </c>
      <c r="E61" s="48" t="s">
        <v>287</v>
      </c>
      <c r="F61" s="30"/>
      <c r="G61" s="31" t="s">
        <v>206</v>
      </c>
      <c r="H61" s="40">
        <v>12</v>
      </c>
      <c r="I61" s="37">
        <v>24</v>
      </c>
      <c r="J61" s="44">
        <v>24</v>
      </c>
      <c r="K61" s="34" t="s">
        <v>288</v>
      </c>
      <c r="L61" s="443"/>
      <c r="M61" s="443"/>
      <c r="N61" s="443"/>
      <c r="O61" s="444"/>
      <c r="P61" s="344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7">
        <f>IF(OR(G61="",K61="Mut+ext"),0,IF(VLOOKUP(G61,Paramétrage!$D$6:$F$27,3,0)=0,0,IF(J61="","saisir capacité",H61*P61*VLOOKUP(G61,Paramétrage!$D$6:$F$27,2,0))))</f>
        <v>12</v>
      </c>
      <c r="R61" s="33"/>
      <c r="S61" s="15">
        <f t="shared" si="2"/>
        <v>12</v>
      </c>
      <c r="T61" s="28">
        <f>IF(G61="",0,IF(ISERROR(R61+Q61*VLOOKUP(G61,Paramétrage!$D$6:$F$27,3,0))=TRUE,S61,R61+Q61*VLOOKUP(G61,Paramétrage!$D$6:$F$27,3,0)))</f>
        <v>12</v>
      </c>
      <c r="U61" s="33">
        <f>S61</f>
        <v>12</v>
      </c>
      <c r="V61" s="37"/>
      <c r="W61" s="37"/>
      <c r="X61" s="37"/>
      <c r="Y61" s="345">
        <f t="shared" si="14"/>
        <v>12</v>
      </c>
      <c r="Z61" s="442"/>
      <c r="AA61" s="443"/>
      <c r="AB61" s="444"/>
      <c r="AC61" s="16">
        <f>VLOOKUP(D61,Paramétrage!$K$6:$L$12,2,0)</f>
        <v>2</v>
      </c>
      <c r="AD61" s="27">
        <f t="shared" si="13"/>
        <v>12</v>
      </c>
      <c r="AE61" s="16">
        <f t="shared" si="15"/>
        <v>288</v>
      </c>
    </row>
    <row r="62" spans="1:31" x14ac:dyDescent="0.2">
      <c r="A62" s="470"/>
      <c r="B62" s="440" t="s">
        <v>307</v>
      </c>
      <c r="C62" s="29" t="s">
        <v>286</v>
      </c>
      <c r="D62" s="29" t="s">
        <v>212</v>
      </c>
      <c r="E62" s="48" t="s">
        <v>287</v>
      </c>
      <c r="F62" s="30"/>
      <c r="G62" s="31" t="s">
        <v>206</v>
      </c>
      <c r="H62" s="40">
        <v>4</v>
      </c>
      <c r="I62" s="37">
        <v>24</v>
      </c>
      <c r="J62" s="44">
        <v>24</v>
      </c>
      <c r="K62" s="34" t="s">
        <v>288</v>
      </c>
      <c r="L62" s="443"/>
      <c r="M62" s="443"/>
      <c r="N62" s="443"/>
      <c r="O62" s="444"/>
      <c r="P62" s="344">
        <f>IF(OR(J62="",G62=Paramétrage!$D$9,G62=Paramétrage!$D$12,G62=Paramétrage!$D$15,G62=Paramétrage!$D$18,G62=Paramétrage!$D$22,G62=Paramétrage!$D$25,AND(G62&lt;&gt;Paramétrage!$D$9,K62="Mut+ext")),0,ROUNDUP(I62/J62,0))</f>
        <v>1</v>
      </c>
      <c r="Q62" s="17">
        <f>IF(OR(G62="",K62="Mut+ext"),0,IF(VLOOKUP(G62,Paramétrage!$D$6:$F$27,3,0)=0,0,IF(J62="","saisir capacité",H62*P62*VLOOKUP(G62,Paramétrage!$D$6:$F$27,2,0))))</f>
        <v>4</v>
      </c>
      <c r="R62" s="33"/>
      <c r="S62" s="15">
        <f t="shared" si="2"/>
        <v>4</v>
      </c>
      <c r="T62" s="28">
        <f>IF(G62="",0,IF(ISERROR(R62+Q62*VLOOKUP(G62,Paramétrage!$D$6:$F$27,3,0))=TRUE,S62,R62+Q62*VLOOKUP(G62,Paramétrage!$D$6:$F$27,3,0)))</f>
        <v>4</v>
      </c>
      <c r="U62" s="33"/>
      <c r="V62" s="37"/>
      <c r="W62" s="37">
        <f>S62</f>
        <v>4</v>
      </c>
      <c r="X62" s="37"/>
      <c r="Y62" s="345">
        <f t="shared" si="14"/>
        <v>4</v>
      </c>
      <c r="Z62" s="442"/>
      <c r="AA62" s="443"/>
      <c r="AB62" s="444"/>
      <c r="AC62" s="16">
        <f>VLOOKUP(D62,Paramétrage!$K$6:$L$12,2,0)</f>
        <v>2</v>
      </c>
      <c r="AD62" s="27">
        <f t="shared" si="13"/>
        <v>4</v>
      </c>
      <c r="AE62" s="16">
        <f t="shared" si="15"/>
        <v>96</v>
      </c>
    </row>
    <row r="63" spans="1:31" hidden="1" x14ac:dyDescent="0.2">
      <c r="A63" s="470"/>
      <c r="B63" s="392"/>
      <c r="C63" s="393"/>
      <c r="D63" s="29" t="s">
        <v>212</v>
      </c>
      <c r="E63" s="32"/>
      <c r="F63" s="30"/>
      <c r="G63" s="31"/>
      <c r="H63" s="31"/>
      <c r="I63" s="31"/>
      <c r="J63" s="31"/>
      <c r="K63" s="31"/>
      <c r="L63" s="443"/>
      <c r="M63" s="443"/>
      <c r="N63" s="443"/>
      <c r="O63" s="444"/>
      <c r="P63" s="34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2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45">
        <f t="shared" si="14"/>
        <v>0</v>
      </c>
      <c r="Z63" s="442"/>
      <c r="AA63" s="443"/>
      <c r="AB63" s="444"/>
      <c r="AC63" s="16">
        <f>VLOOKUP(D63,Paramétrage!$K$6:$L$12,2,0)</f>
        <v>2</v>
      </c>
      <c r="AD63" s="27">
        <f t="shared" si="13"/>
        <v>0</v>
      </c>
      <c r="AE63" s="16">
        <f t="shared" si="15"/>
        <v>0</v>
      </c>
    </row>
    <row r="64" spans="1:31" hidden="1" x14ac:dyDescent="0.2">
      <c r="A64" s="470"/>
      <c r="B64" s="50"/>
      <c r="C64" s="29"/>
      <c r="D64" s="29" t="s">
        <v>212</v>
      </c>
      <c r="E64" s="32"/>
      <c r="F64" s="30"/>
      <c r="G64" s="31"/>
      <c r="H64" s="31"/>
      <c r="I64" s="31"/>
      <c r="J64" s="31"/>
      <c r="K64" s="31"/>
      <c r="L64" s="443"/>
      <c r="M64" s="443"/>
      <c r="N64" s="443"/>
      <c r="O64" s="444"/>
      <c r="P64" s="34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2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45">
        <f t="shared" si="14"/>
        <v>0</v>
      </c>
      <c r="Z64" s="442"/>
      <c r="AA64" s="443"/>
      <c r="AB64" s="444"/>
      <c r="AC64" s="16">
        <f>VLOOKUP(D64,Paramétrage!$K$6:$L$12,2,0)</f>
        <v>2</v>
      </c>
      <c r="AD64" s="27">
        <f t="shared" si="13"/>
        <v>0</v>
      </c>
      <c r="AE64" s="16">
        <f t="shared" ref="AE64:AE69" si="16">H64*I64</f>
        <v>0</v>
      </c>
    </row>
    <row r="65" spans="1:31" hidden="1" x14ac:dyDescent="0.2">
      <c r="A65" s="470"/>
      <c r="B65" s="51"/>
      <c r="C65" s="29"/>
      <c r="D65" s="29" t="s">
        <v>212</v>
      </c>
      <c r="E65" s="32"/>
      <c r="F65" s="30"/>
      <c r="G65" s="31"/>
      <c r="H65" s="31"/>
      <c r="I65" s="31"/>
      <c r="J65" s="31"/>
      <c r="K65" s="31"/>
      <c r="L65" s="443"/>
      <c r="M65" s="443"/>
      <c r="N65" s="443"/>
      <c r="O65" s="444"/>
      <c r="P65" s="34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2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45">
        <f t="shared" si="14"/>
        <v>0</v>
      </c>
      <c r="Z65" s="442"/>
      <c r="AA65" s="443"/>
      <c r="AB65" s="444"/>
      <c r="AC65" s="16">
        <f>VLOOKUP(D65,Paramétrage!$K$6:$L$12,2,0)</f>
        <v>2</v>
      </c>
      <c r="AD65" s="27">
        <f t="shared" si="13"/>
        <v>0</v>
      </c>
      <c r="AE65" s="16">
        <f t="shared" si="16"/>
        <v>0</v>
      </c>
    </row>
    <row r="66" spans="1:31" hidden="1" x14ac:dyDescent="0.2">
      <c r="A66" s="470"/>
      <c r="B66" s="50"/>
      <c r="C66" s="29"/>
      <c r="D66" s="29" t="s">
        <v>212</v>
      </c>
      <c r="E66" s="32"/>
      <c r="F66" s="30"/>
      <c r="G66" s="31"/>
      <c r="H66" s="31"/>
      <c r="I66" s="31"/>
      <c r="J66" s="31"/>
      <c r="K66" s="31"/>
      <c r="L66" s="443"/>
      <c r="M66" s="443"/>
      <c r="N66" s="443"/>
      <c r="O66" s="444"/>
      <c r="P66" s="34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2"/>
        <v>0</v>
      </c>
      <c r="T66" s="28">
        <f>IF(G66="",0,IF(ISERROR(R66+Q66*VLOOKUP(G66,Paramétrage!$D$6:$F$27,3,0))=TRUE,S66,R66+Q66*VLOOKUP(G66,Paramétrage!$D$6:$F$27,3,0)))</f>
        <v>0</v>
      </c>
      <c r="U66" s="37"/>
      <c r="V66" s="37"/>
      <c r="W66" s="37"/>
      <c r="X66" s="37"/>
      <c r="Y66" s="345">
        <f t="shared" si="14"/>
        <v>0</v>
      </c>
      <c r="Z66" s="442"/>
      <c r="AA66" s="443"/>
      <c r="AB66" s="444"/>
      <c r="AC66" s="16">
        <f>VLOOKUP(D66,Paramétrage!$K$6:$L$12,2,0)</f>
        <v>2</v>
      </c>
      <c r="AD66" s="27">
        <f t="shared" si="13"/>
        <v>0</v>
      </c>
      <c r="AE66" s="16">
        <f t="shared" si="16"/>
        <v>0</v>
      </c>
    </row>
    <row r="67" spans="1:31" hidden="1" x14ac:dyDescent="0.2">
      <c r="A67" s="470"/>
      <c r="B67" s="50"/>
      <c r="C67" s="29"/>
      <c r="D67" s="29" t="s">
        <v>212</v>
      </c>
      <c r="E67" s="32"/>
      <c r="F67" s="30"/>
      <c r="G67" s="31"/>
      <c r="H67" s="31"/>
      <c r="I67" s="31"/>
      <c r="J67" s="31"/>
      <c r="K67" s="31"/>
      <c r="L67" s="443"/>
      <c r="M67" s="443"/>
      <c r="N67" s="443"/>
      <c r="O67" s="444"/>
      <c r="P67" s="34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2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45">
        <f t="shared" si="14"/>
        <v>0</v>
      </c>
      <c r="Z67" s="442"/>
      <c r="AA67" s="443"/>
      <c r="AB67" s="444"/>
      <c r="AC67" s="16">
        <f>VLOOKUP(D67,Paramétrage!$K$6:$L$12,2,0)</f>
        <v>2</v>
      </c>
      <c r="AD67" s="27">
        <f t="shared" si="13"/>
        <v>0</v>
      </c>
      <c r="AE67" s="16">
        <f t="shared" si="16"/>
        <v>0</v>
      </c>
    </row>
    <row r="68" spans="1:31" hidden="1" x14ac:dyDescent="0.2">
      <c r="A68" s="470"/>
      <c r="B68" s="50"/>
      <c r="C68" s="29"/>
      <c r="D68" s="29" t="s">
        <v>212</v>
      </c>
      <c r="E68" s="32"/>
      <c r="F68" s="30"/>
      <c r="G68" s="31"/>
      <c r="H68" s="31"/>
      <c r="I68" s="31"/>
      <c r="J68" s="31"/>
      <c r="K68" s="31"/>
      <c r="L68" s="443"/>
      <c r="M68" s="443"/>
      <c r="N68" s="443"/>
      <c r="O68" s="444"/>
      <c r="P68" s="34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3"/>
      <c r="S68" s="15">
        <f t="shared" si="2"/>
        <v>0</v>
      </c>
      <c r="T68" s="28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45">
        <f t="shared" si="14"/>
        <v>0</v>
      </c>
      <c r="Z68" s="442"/>
      <c r="AA68" s="443"/>
      <c r="AB68" s="444"/>
      <c r="AC68" s="16">
        <f>VLOOKUP(D68,Paramétrage!$K$6:$L$12,2,0)</f>
        <v>2</v>
      </c>
      <c r="AD68" s="27">
        <f t="shared" si="13"/>
        <v>0</v>
      </c>
      <c r="AE68" s="16">
        <f t="shared" si="16"/>
        <v>0</v>
      </c>
    </row>
    <row r="69" spans="1:31" hidden="1" x14ac:dyDescent="0.2">
      <c r="A69" s="470"/>
      <c r="B69" s="369"/>
      <c r="C69" s="32"/>
      <c r="D69" s="29" t="s">
        <v>212</v>
      </c>
      <c r="E69" s="29"/>
      <c r="F69" s="30"/>
      <c r="G69" s="31"/>
      <c r="H69" s="31"/>
      <c r="I69" s="31"/>
      <c r="J69" s="31"/>
      <c r="K69" s="31"/>
      <c r="L69" s="443"/>
      <c r="M69" s="443"/>
      <c r="N69" s="443"/>
      <c r="O69" s="444"/>
      <c r="P69" s="34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63"/>
      <c r="S69" s="364">
        <f t="shared" si="2"/>
        <v>0</v>
      </c>
      <c r="T69" s="365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66">
        <f t="shared" si="14"/>
        <v>0</v>
      </c>
      <c r="Z69" s="442"/>
      <c r="AA69" s="443"/>
      <c r="AB69" s="444"/>
      <c r="AC69" s="16">
        <f>VLOOKUP(D69,Paramétrage!$K$6:$L$12,2,0)</f>
        <v>2</v>
      </c>
      <c r="AD69" s="27">
        <f t="shared" si="13"/>
        <v>0</v>
      </c>
      <c r="AE69" s="16">
        <f t="shared" si="16"/>
        <v>0</v>
      </c>
    </row>
    <row r="70" spans="1:31" hidden="1" x14ac:dyDescent="0.2">
      <c r="A70" s="470"/>
      <c r="B70" s="50"/>
      <c r="C70" s="29"/>
      <c r="D70" s="29" t="s">
        <v>212</v>
      </c>
      <c r="E70" s="382"/>
      <c r="F70" s="30"/>
      <c r="G70" s="31"/>
      <c r="H70" s="31"/>
      <c r="I70" s="31"/>
      <c r="J70" s="31"/>
      <c r="K70" s="31"/>
      <c r="L70" s="449"/>
      <c r="M70" s="449"/>
      <c r="N70" s="449"/>
      <c r="O70" s="450"/>
      <c r="P70" s="353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54"/>
      <c r="S70" s="15">
        <f t="shared" si="2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45">
        <f>SUM(U70:X70)</f>
        <v>0</v>
      </c>
      <c r="Z70" s="448"/>
      <c r="AA70" s="449"/>
      <c r="AB70" s="450"/>
      <c r="AC70" s="16">
        <f>VLOOKUP(D70,Paramétrage!$K$6:$L$12,2,0)</f>
        <v>2</v>
      </c>
      <c r="AD70" s="27">
        <f t="shared" si="13"/>
        <v>0</v>
      </c>
      <c r="AE70" s="56">
        <f>H70*I70</f>
        <v>0</v>
      </c>
    </row>
    <row r="71" spans="1:31" hidden="1" x14ac:dyDescent="0.2">
      <c r="A71" s="470"/>
      <c r="B71" s="50"/>
      <c r="C71" s="29"/>
      <c r="D71" s="29" t="s">
        <v>212</v>
      </c>
      <c r="E71" s="32"/>
      <c r="F71" s="30"/>
      <c r="G71" s="31"/>
      <c r="H71" s="31"/>
      <c r="I71" s="31"/>
      <c r="J71" s="31"/>
      <c r="K71" s="31"/>
      <c r="L71" s="443"/>
      <c r="M71" s="443"/>
      <c r="N71" s="443"/>
      <c r="O71" s="444"/>
      <c r="P71" s="34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si="2"/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45">
        <f t="shared" ref="Y71:Y89" si="17">SUM(U71:X71)</f>
        <v>0</v>
      </c>
      <c r="Z71" s="442"/>
      <c r="AA71" s="443"/>
      <c r="AB71" s="444"/>
      <c r="AC71" s="16">
        <f>VLOOKUP(D71,Paramétrage!$K$6:$L$12,2,0)</f>
        <v>2</v>
      </c>
      <c r="AD71" s="27">
        <f t="shared" si="13"/>
        <v>0</v>
      </c>
      <c r="AE71" s="16">
        <f>H71*I71</f>
        <v>0</v>
      </c>
    </row>
    <row r="72" spans="1:31" hidden="1" x14ac:dyDescent="0.2">
      <c r="A72" s="470"/>
      <c r="B72" s="50"/>
      <c r="C72" s="29"/>
      <c r="D72" s="29" t="s">
        <v>212</v>
      </c>
      <c r="E72" s="32"/>
      <c r="F72" s="30"/>
      <c r="G72" s="31"/>
      <c r="H72" s="31"/>
      <c r="I72" s="31"/>
      <c r="J72" s="31"/>
      <c r="K72" s="31"/>
      <c r="L72" s="443"/>
      <c r="M72" s="443"/>
      <c r="N72" s="443"/>
      <c r="O72" s="444"/>
      <c r="P72" s="34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ref="S72:S89" si="18">IF(OR(G72="",K72="Mut+ext"),0,IF(ISERROR(Q72+R72)=TRUE,Q72,Q72+R72))</f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45">
        <f t="shared" si="17"/>
        <v>0</v>
      </c>
      <c r="Z72" s="442"/>
      <c r="AA72" s="443"/>
      <c r="AB72" s="444"/>
      <c r="AC72" s="16">
        <f>VLOOKUP(D72,Paramétrage!$K$6:$L$12,2,0)</f>
        <v>2</v>
      </c>
      <c r="AD72" s="27">
        <f t="shared" si="13"/>
        <v>0</v>
      </c>
      <c r="AE72" s="16">
        <f>H72*I72</f>
        <v>0</v>
      </c>
    </row>
    <row r="73" spans="1:31" hidden="1" x14ac:dyDescent="0.2">
      <c r="A73" s="470"/>
      <c r="B73" s="50"/>
      <c r="C73" s="29"/>
      <c r="D73" s="29" t="s">
        <v>212</v>
      </c>
      <c r="E73" s="384"/>
      <c r="F73" s="30"/>
      <c r="G73" s="31"/>
      <c r="H73" s="31"/>
      <c r="I73" s="31"/>
      <c r="J73" s="31"/>
      <c r="K73" s="31"/>
      <c r="L73" s="443"/>
      <c r="M73" s="443"/>
      <c r="N73" s="443"/>
      <c r="O73" s="444"/>
      <c r="P73" s="34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45">
        <f t="shared" si="17"/>
        <v>0</v>
      </c>
      <c r="Z73" s="442"/>
      <c r="AA73" s="443"/>
      <c r="AB73" s="444"/>
      <c r="AC73" s="16">
        <f>VLOOKUP(D73,Paramétrage!$K$6:$L$12,2,0)</f>
        <v>2</v>
      </c>
      <c r="AD73" s="27">
        <f t="shared" si="13"/>
        <v>0</v>
      </c>
      <c r="AE73" s="16">
        <f t="shared" ref="AE73:AE85" si="19">H73*I73</f>
        <v>0</v>
      </c>
    </row>
    <row r="74" spans="1:31" hidden="1" x14ac:dyDescent="0.2">
      <c r="A74" s="470"/>
      <c r="B74" s="50"/>
      <c r="C74" s="29"/>
      <c r="D74" s="29" t="s">
        <v>212</v>
      </c>
      <c r="E74" s="48"/>
      <c r="F74" s="30"/>
      <c r="G74" s="31"/>
      <c r="H74" s="31"/>
      <c r="I74" s="31"/>
      <c r="J74" s="31"/>
      <c r="K74" s="31"/>
      <c r="L74" s="443"/>
      <c r="M74" s="443"/>
      <c r="N74" s="443"/>
      <c r="O74" s="444"/>
      <c r="P74" s="34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45">
        <f t="shared" si="17"/>
        <v>0</v>
      </c>
      <c r="Z74" s="442"/>
      <c r="AA74" s="443"/>
      <c r="AB74" s="444"/>
      <c r="AC74" s="16">
        <f>VLOOKUP(D74,Paramétrage!$K$6:$L$12,2,0)</f>
        <v>2</v>
      </c>
      <c r="AD74" s="27">
        <f t="shared" si="13"/>
        <v>0</v>
      </c>
      <c r="AE74" s="16">
        <f t="shared" si="19"/>
        <v>0</v>
      </c>
    </row>
    <row r="75" spans="1:31" hidden="1" x14ac:dyDescent="0.2">
      <c r="A75" s="470"/>
      <c r="B75" s="50"/>
      <c r="C75" s="29"/>
      <c r="D75" s="29" t="s">
        <v>212</v>
      </c>
      <c r="E75" s="48"/>
      <c r="F75" s="30"/>
      <c r="G75" s="31"/>
      <c r="H75" s="31"/>
      <c r="I75" s="31"/>
      <c r="J75" s="31"/>
      <c r="K75" s="31"/>
      <c r="L75" s="443"/>
      <c r="M75" s="443"/>
      <c r="N75" s="443"/>
      <c r="O75" s="444"/>
      <c r="P75" s="34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45">
        <f t="shared" si="17"/>
        <v>0</v>
      </c>
      <c r="Z75" s="442"/>
      <c r="AA75" s="443"/>
      <c r="AB75" s="444"/>
      <c r="AC75" s="16">
        <f>VLOOKUP(D75,Paramétrage!$K$6:$L$12,2,0)</f>
        <v>2</v>
      </c>
      <c r="AD75" s="27">
        <f t="shared" si="13"/>
        <v>0</v>
      </c>
      <c r="AE75" s="16">
        <f t="shared" si="19"/>
        <v>0</v>
      </c>
    </row>
    <row r="76" spans="1:31" hidden="1" x14ac:dyDescent="0.2">
      <c r="A76" s="470"/>
      <c r="B76" s="50"/>
      <c r="C76" s="29"/>
      <c r="D76" s="29" t="s">
        <v>212</v>
      </c>
      <c r="E76" s="48"/>
      <c r="F76" s="30"/>
      <c r="G76" s="31"/>
      <c r="H76" s="31"/>
      <c r="I76" s="31"/>
      <c r="J76" s="31"/>
      <c r="K76" s="31"/>
      <c r="L76" s="443"/>
      <c r="M76" s="443"/>
      <c r="N76" s="443"/>
      <c r="O76" s="444"/>
      <c r="P76" s="34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45">
        <f t="shared" si="17"/>
        <v>0</v>
      </c>
      <c r="Z76" s="442"/>
      <c r="AA76" s="443"/>
      <c r="AB76" s="444"/>
      <c r="AC76" s="16">
        <f>VLOOKUP(D76,Paramétrage!$K$6:$L$12,2,0)</f>
        <v>2</v>
      </c>
      <c r="AD76" s="27">
        <f t="shared" si="13"/>
        <v>0</v>
      </c>
      <c r="AE76" s="16">
        <f t="shared" si="19"/>
        <v>0</v>
      </c>
    </row>
    <row r="77" spans="1:31" hidden="1" x14ac:dyDescent="0.2">
      <c r="A77" s="470"/>
      <c r="B77" s="50"/>
      <c r="C77" s="29"/>
      <c r="D77" s="29" t="s">
        <v>212</v>
      </c>
      <c r="E77" s="48"/>
      <c r="F77" s="30"/>
      <c r="G77" s="31"/>
      <c r="H77" s="31"/>
      <c r="I77" s="31"/>
      <c r="J77" s="31"/>
      <c r="K77" s="31"/>
      <c r="L77" s="443"/>
      <c r="M77" s="443"/>
      <c r="N77" s="443"/>
      <c r="O77" s="444"/>
      <c r="P77" s="34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45">
        <f t="shared" si="17"/>
        <v>0</v>
      </c>
      <c r="Z77" s="442"/>
      <c r="AA77" s="443"/>
      <c r="AB77" s="444"/>
      <c r="AC77" s="16">
        <f>VLOOKUP(D77,Paramétrage!$K$6:$L$12,2,0)</f>
        <v>2</v>
      </c>
      <c r="AD77" s="27">
        <f t="shared" si="13"/>
        <v>0</v>
      </c>
      <c r="AE77" s="16">
        <f t="shared" si="19"/>
        <v>0</v>
      </c>
    </row>
    <row r="78" spans="1:31" hidden="1" x14ac:dyDescent="0.2">
      <c r="A78" s="470"/>
      <c r="B78" s="50"/>
      <c r="C78" s="29"/>
      <c r="D78" s="29" t="s">
        <v>212</v>
      </c>
      <c r="E78" s="48"/>
      <c r="F78" s="30"/>
      <c r="G78" s="31"/>
      <c r="H78" s="31"/>
      <c r="I78" s="31"/>
      <c r="J78" s="31"/>
      <c r="K78" s="31"/>
      <c r="L78" s="443"/>
      <c r="M78" s="443"/>
      <c r="N78" s="443"/>
      <c r="O78" s="444"/>
      <c r="P78" s="34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45">
        <f t="shared" si="17"/>
        <v>0</v>
      </c>
      <c r="Z78" s="442"/>
      <c r="AA78" s="443"/>
      <c r="AB78" s="444"/>
      <c r="AC78" s="16">
        <f>VLOOKUP(D78,Paramétrage!$K$6:$L$12,2,0)</f>
        <v>2</v>
      </c>
      <c r="AD78" s="27">
        <f t="shared" si="13"/>
        <v>0</v>
      </c>
      <c r="AE78" s="16">
        <f t="shared" si="19"/>
        <v>0</v>
      </c>
    </row>
    <row r="79" spans="1:31" hidden="1" x14ac:dyDescent="0.2">
      <c r="A79" s="470"/>
      <c r="B79" s="50"/>
      <c r="C79" s="29"/>
      <c r="D79" s="29" t="s">
        <v>212</v>
      </c>
      <c r="E79" s="48"/>
      <c r="F79" s="30"/>
      <c r="G79" s="31"/>
      <c r="H79" s="31"/>
      <c r="I79" s="31"/>
      <c r="J79" s="31"/>
      <c r="K79" s="31"/>
      <c r="L79" s="443"/>
      <c r="M79" s="443"/>
      <c r="N79" s="443"/>
      <c r="O79" s="444"/>
      <c r="P79" s="34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45">
        <f t="shared" si="17"/>
        <v>0</v>
      </c>
      <c r="Z79" s="442"/>
      <c r="AA79" s="443"/>
      <c r="AB79" s="444"/>
      <c r="AC79" s="16">
        <f>VLOOKUP(D79,Paramétrage!$K$6:$L$12,2,0)</f>
        <v>2</v>
      </c>
      <c r="AD79" s="27">
        <f t="shared" si="13"/>
        <v>0</v>
      </c>
      <c r="AE79" s="16">
        <f t="shared" si="19"/>
        <v>0</v>
      </c>
    </row>
    <row r="80" spans="1:31" hidden="1" x14ac:dyDescent="0.2">
      <c r="A80" s="470"/>
      <c r="B80" s="50"/>
      <c r="C80" s="29"/>
      <c r="D80" s="29" t="s">
        <v>212</v>
      </c>
      <c r="E80" s="48"/>
      <c r="F80" s="30"/>
      <c r="G80" s="31"/>
      <c r="H80" s="31"/>
      <c r="I80" s="31"/>
      <c r="J80" s="31"/>
      <c r="K80" s="31"/>
      <c r="L80" s="443"/>
      <c r="M80" s="443"/>
      <c r="N80" s="443"/>
      <c r="O80" s="444"/>
      <c r="P80" s="34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45">
        <f t="shared" si="17"/>
        <v>0</v>
      </c>
      <c r="Z80" s="442"/>
      <c r="AA80" s="443"/>
      <c r="AB80" s="444"/>
      <c r="AC80" s="16">
        <f>VLOOKUP(D80,Paramétrage!$K$6:$L$12,2,0)</f>
        <v>2</v>
      </c>
      <c r="AD80" s="27">
        <f t="shared" si="13"/>
        <v>0</v>
      </c>
      <c r="AE80" s="16">
        <f t="shared" si="19"/>
        <v>0</v>
      </c>
    </row>
    <row r="81" spans="1:31" hidden="1" x14ac:dyDescent="0.2">
      <c r="A81" s="470"/>
      <c r="B81" s="50"/>
      <c r="C81" s="29"/>
      <c r="D81" s="29" t="s">
        <v>212</v>
      </c>
      <c r="E81" s="48"/>
      <c r="F81" s="30"/>
      <c r="G81" s="31"/>
      <c r="H81" s="31"/>
      <c r="I81" s="31"/>
      <c r="J81" s="31"/>
      <c r="K81" s="31"/>
      <c r="L81" s="443"/>
      <c r="M81" s="443"/>
      <c r="N81" s="443"/>
      <c r="O81" s="444"/>
      <c r="P81" s="34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45">
        <f t="shared" si="17"/>
        <v>0</v>
      </c>
      <c r="Z81" s="442"/>
      <c r="AA81" s="443"/>
      <c r="AB81" s="444"/>
      <c r="AC81" s="16">
        <f>VLOOKUP(D81,Paramétrage!$K$6:$L$12,2,0)</f>
        <v>2</v>
      </c>
      <c r="AD81" s="27">
        <f t="shared" si="13"/>
        <v>0</v>
      </c>
      <c r="AE81" s="16">
        <f t="shared" si="19"/>
        <v>0</v>
      </c>
    </row>
    <row r="82" spans="1:31" hidden="1" x14ac:dyDescent="0.2">
      <c r="A82" s="470"/>
      <c r="B82" s="50"/>
      <c r="C82" s="29"/>
      <c r="D82" s="29" t="s">
        <v>212</v>
      </c>
      <c r="E82" s="48"/>
      <c r="F82" s="30"/>
      <c r="G82" s="31"/>
      <c r="H82" s="31"/>
      <c r="I82" s="31"/>
      <c r="J82" s="31"/>
      <c r="K82" s="31"/>
      <c r="L82" s="443"/>
      <c r="M82" s="443"/>
      <c r="N82" s="443"/>
      <c r="O82" s="444"/>
      <c r="P82" s="34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45">
        <f t="shared" si="17"/>
        <v>0</v>
      </c>
      <c r="Z82" s="442"/>
      <c r="AA82" s="443"/>
      <c r="AB82" s="444"/>
      <c r="AC82" s="16">
        <f>VLOOKUP(D82,Paramétrage!$K$6:$L$12,2,0)</f>
        <v>2</v>
      </c>
      <c r="AD82" s="27">
        <f t="shared" si="13"/>
        <v>0</v>
      </c>
      <c r="AE82" s="16">
        <f t="shared" si="19"/>
        <v>0</v>
      </c>
    </row>
    <row r="83" spans="1:31" hidden="1" x14ac:dyDescent="0.2">
      <c r="A83" s="470"/>
      <c r="B83" s="50"/>
      <c r="C83" s="29"/>
      <c r="D83" s="29" t="s">
        <v>212</v>
      </c>
      <c r="E83" s="48"/>
      <c r="F83" s="30"/>
      <c r="G83" s="31"/>
      <c r="H83" s="31"/>
      <c r="I83" s="31"/>
      <c r="J83" s="31"/>
      <c r="K83" s="31"/>
      <c r="L83" s="443"/>
      <c r="M83" s="443"/>
      <c r="N83" s="443"/>
      <c r="O83" s="444"/>
      <c r="P83" s="34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45">
        <f t="shared" si="17"/>
        <v>0</v>
      </c>
      <c r="Z83" s="442"/>
      <c r="AA83" s="443"/>
      <c r="AB83" s="444"/>
      <c r="AC83" s="16">
        <f>VLOOKUP(D83,Paramétrage!$K$6:$L$12,2,0)</f>
        <v>2</v>
      </c>
      <c r="AD83" s="27">
        <f t="shared" si="13"/>
        <v>0</v>
      </c>
      <c r="AE83" s="16">
        <f t="shared" si="19"/>
        <v>0</v>
      </c>
    </row>
    <row r="84" spans="1:31" hidden="1" x14ac:dyDescent="0.2">
      <c r="A84" s="470"/>
      <c r="B84" s="50"/>
      <c r="C84" s="29"/>
      <c r="D84" s="29" t="s">
        <v>212</v>
      </c>
      <c r="E84" s="48"/>
      <c r="F84" s="30"/>
      <c r="G84" s="31"/>
      <c r="H84" s="31"/>
      <c r="I84" s="31"/>
      <c r="J84" s="31"/>
      <c r="K84" s="31"/>
      <c r="L84" s="443"/>
      <c r="M84" s="443"/>
      <c r="N84" s="443"/>
      <c r="O84" s="444"/>
      <c r="P84" s="34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45">
        <f t="shared" si="17"/>
        <v>0</v>
      </c>
      <c r="Z84" s="442"/>
      <c r="AA84" s="443"/>
      <c r="AB84" s="444"/>
      <c r="AC84" s="16">
        <f>VLOOKUP(D84,Paramétrage!$K$6:$L$12,2,0)</f>
        <v>2</v>
      </c>
      <c r="AD84" s="27">
        <f t="shared" si="13"/>
        <v>0</v>
      </c>
      <c r="AE84" s="16">
        <f t="shared" si="19"/>
        <v>0</v>
      </c>
    </row>
    <row r="85" spans="1:31" hidden="1" x14ac:dyDescent="0.2">
      <c r="A85" s="470"/>
      <c r="B85" s="50"/>
      <c r="C85" s="29"/>
      <c r="D85" s="29" t="s">
        <v>212</v>
      </c>
      <c r="E85" s="48"/>
      <c r="F85" s="30"/>
      <c r="G85" s="31"/>
      <c r="H85" s="31"/>
      <c r="I85" s="31"/>
      <c r="J85" s="31"/>
      <c r="K85" s="31"/>
      <c r="L85" s="443"/>
      <c r="M85" s="443"/>
      <c r="N85" s="443"/>
      <c r="O85" s="444"/>
      <c r="P85" s="34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45">
        <f t="shared" si="17"/>
        <v>0</v>
      </c>
      <c r="Z85" s="442"/>
      <c r="AA85" s="443"/>
      <c r="AB85" s="444"/>
      <c r="AC85" s="16">
        <f>VLOOKUP(D85,Paramétrage!$K$6:$L$12,2,0)</f>
        <v>2</v>
      </c>
      <c r="AD85" s="27">
        <f t="shared" si="13"/>
        <v>0</v>
      </c>
      <c r="AE85" s="16">
        <f t="shared" si="19"/>
        <v>0</v>
      </c>
    </row>
    <row r="86" spans="1:31" hidden="1" x14ac:dyDescent="0.2">
      <c r="A86" s="470"/>
      <c r="B86" s="50"/>
      <c r="C86" s="29"/>
      <c r="D86" s="29" t="s">
        <v>212</v>
      </c>
      <c r="E86" s="48"/>
      <c r="F86" s="30"/>
      <c r="G86" s="31"/>
      <c r="H86" s="31"/>
      <c r="I86" s="31"/>
      <c r="J86" s="31"/>
      <c r="K86" s="31"/>
      <c r="L86" s="443"/>
      <c r="M86" s="443"/>
      <c r="N86" s="443"/>
      <c r="O86" s="444"/>
      <c r="P86" s="34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37"/>
      <c r="V86" s="37"/>
      <c r="W86" s="37"/>
      <c r="X86" s="37"/>
      <c r="Y86" s="345">
        <f t="shared" si="17"/>
        <v>0</v>
      </c>
      <c r="Z86" s="442"/>
      <c r="AA86" s="443"/>
      <c r="AB86" s="444"/>
      <c r="AC86" s="16">
        <f>VLOOKUP(D86,Paramétrage!$K$6:$L$12,2,0)</f>
        <v>2</v>
      </c>
      <c r="AD86" s="27">
        <f t="shared" si="13"/>
        <v>0</v>
      </c>
      <c r="AE86" s="16">
        <f>H86*I86</f>
        <v>0</v>
      </c>
    </row>
    <row r="87" spans="1:31" hidden="1" x14ac:dyDescent="0.2">
      <c r="A87" s="470"/>
      <c r="B87" s="50"/>
      <c r="C87" s="29"/>
      <c r="D87" s="29" t="s">
        <v>212</v>
      </c>
      <c r="E87" s="48"/>
      <c r="F87" s="30"/>
      <c r="G87" s="31"/>
      <c r="H87" s="31"/>
      <c r="I87" s="31"/>
      <c r="J87" s="31"/>
      <c r="K87" s="31"/>
      <c r="L87" s="443"/>
      <c r="M87" s="443"/>
      <c r="N87" s="443"/>
      <c r="O87" s="444"/>
      <c r="P87" s="34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45">
        <f t="shared" si="17"/>
        <v>0</v>
      </c>
      <c r="Z87" s="442"/>
      <c r="AA87" s="443"/>
      <c r="AB87" s="444"/>
      <c r="AC87" s="16">
        <f>VLOOKUP(D87,Paramétrage!$K$6:$L$12,2,0)</f>
        <v>2</v>
      </c>
      <c r="AD87" s="27">
        <f t="shared" si="13"/>
        <v>0</v>
      </c>
      <c r="AE87" s="16">
        <f>H87*I87</f>
        <v>0</v>
      </c>
    </row>
    <row r="88" spans="1:31" hidden="1" x14ac:dyDescent="0.2">
      <c r="A88" s="470"/>
      <c r="B88" s="50"/>
      <c r="C88" s="29"/>
      <c r="D88" s="29" t="s">
        <v>212</v>
      </c>
      <c r="E88" s="48"/>
      <c r="F88" s="30"/>
      <c r="G88" s="31"/>
      <c r="H88" s="31"/>
      <c r="I88" s="31"/>
      <c r="J88" s="31"/>
      <c r="K88" s="31"/>
      <c r="L88" s="443"/>
      <c r="M88" s="443"/>
      <c r="N88" s="443"/>
      <c r="O88" s="444"/>
      <c r="P88" s="34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45">
        <f t="shared" si="17"/>
        <v>0</v>
      </c>
      <c r="Z88" s="442"/>
      <c r="AA88" s="443"/>
      <c r="AB88" s="444"/>
      <c r="AC88" s="16">
        <f>VLOOKUP(D88,Paramétrage!$K$6:$L$12,2,0)</f>
        <v>2</v>
      </c>
      <c r="AD88" s="27">
        <f t="shared" si="13"/>
        <v>0</v>
      </c>
      <c r="AE88" s="16">
        <f>H88*I88</f>
        <v>0</v>
      </c>
    </row>
    <row r="89" spans="1:31" ht="31.5" x14ac:dyDescent="0.2">
      <c r="A89" s="470"/>
      <c r="B89" s="441" t="s">
        <v>317</v>
      </c>
      <c r="C89" s="29" t="s">
        <v>318</v>
      </c>
      <c r="D89" s="29" t="s">
        <v>212</v>
      </c>
      <c r="E89" s="48" t="s">
        <v>287</v>
      </c>
      <c r="F89" s="30"/>
      <c r="G89" s="31" t="s">
        <v>246</v>
      </c>
      <c r="H89" s="40">
        <v>0</v>
      </c>
      <c r="I89" s="37">
        <v>24</v>
      </c>
      <c r="J89" s="44">
        <v>24</v>
      </c>
      <c r="K89" s="34" t="s">
        <v>288</v>
      </c>
      <c r="L89" s="443"/>
      <c r="M89" s="443"/>
      <c r="N89" s="443"/>
      <c r="O89" s="444"/>
      <c r="P89" s="344">
        <f>IF(OR(J89="",G89=Paramétrage!$D$9,G89=Paramétrage!$D$12,G89=Paramétrage!$D$15,G89=Paramétrage!$D$18,G89=Paramétrage!$D$22,G89=Paramétrage!$D$25,AND(G89&lt;&gt;Paramétrage!$D$9,K89="Mut+ext")),0,ROUNDUP(I89/J89,0))</f>
        <v>0</v>
      </c>
      <c r="Q89" s="17">
        <f>IF(OR(G89="",K89="Mut+ext"),0,IF(VLOOKUP(G89,Paramétrage!$D$6:$F$27,3,0)=0,0,IF(J89="","saisir capacité",H89*P89*VLOOKUP(G89,Paramétrage!$D$6:$F$27,2,0))))</f>
        <v>0</v>
      </c>
      <c r="R89" s="33">
        <v>24</v>
      </c>
      <c r="S89" s="15">
        <f t="shared" si="18"/>
        <v>24</v>
      </c>
      <c r="T89" s="28">
        <f>IF(G89="",0,IF(ISERROR(R89+Q89*VLOOKUP(G89,Paramétrage!$D$6:$F$27,3,0))=TRUE,S89,R89+Q89*VLOOKUP(G89,Paramétrage!$D$6:$F$27,3,0)))</f>
        <v>24</v>
      </c>
      <c r="U89" s="40">
        <v>12</v>
      </c>
      <c r="V89" s="37"/>
      <c r="W89" s="37">
        <v>12</v>
      </c>
      <c r="X89" s="37"/>
      <c r="Y89" s="345">
        <f t="shared" si="17"/>
        <v>24</v>
      </c>
      <c r="Z89" s="442"/>
      <c r="AA89" s="443"/>
      <c r="AB89" s="444"/>
      <c r="AC89" s="16">
        <f>VLOOKUP(D89,Paramétrage!$K$6:$L$12,2,0)</f>
        <v>2</v>
      </c>
      <c r="AD89" s="27">
        <f t="shared" si="13"/>
        <v>0</v>
      </c>
      <c r="AE89" s="16">
        <f>H89*I89</f>
        <v>0</v>
      </c>
    </row>
    <row r="90" spans="1:31" ht="16.5" thickBot="1" x14ac:dyDescent="0.25">
      <c r="A90" s="471"/>
      <c r="B90" s="52"/>
      <c r="C90" s="19"/>
      <c r="D90" s="61"/>
      <c r="E90" s="19"/>
      <c r="F90" s="20"/>
      <c r="G90" s="18"/>
      <c r="H90" s="46">
        <f>AD90</f>
        <v>196</v>
      </c>
      <c r="I90" s="41"/>
      <c r="J90" s="45"/>
      <c r="K90" s="49"/>
      <c r="L90" s="57"/>
      <c r="M90" s="57"/>
      <c r="N90" s="57"/>
      <c r="O90" s="58"/>
      <c r="P90" s="371"/>
      <c r="Q90" s="372">
        <f>SUM(Q50:Q89)</f>
        <v>216</v>
      </c>
      <c r="R90" s="340">
        <f>SUM(R50:R89)</f>
        <v>72</v>
      </c>
      <c r="S90" s="373">
        <f>SUM(S50:S89)</f>
        <v>288</v>
      </c>
      <c r="T90" s="62">
        <f>SUM(T50:T89)</f>
        <v>288</v>
      </c>
      <c r="U90" s="373">
        <f t="shared" ref="U90" si="20">SUM(U50:U89)</f>
        <v>118</v>
      </c>
      <c r="V90" s="373">
        <f t="shared" ref="V90" si="21">SUM(V50:V89)</f>
        <v>0</v>
      </c>
      <c r="W90" s="373">
        <f t="shared" ref="W90" si="22">SUM(W50:W89)</f>
        <v>170</v>
      </c>
      <c r="X90" s="373">
        <f t="shared" ref="X90" si="23">SUM(X50:X89)</f>
        <v>0</v>
      </c>
      <c r="Y90" s="373">
        <f t="shared" ref="Y90" si="24">SUM(Y50:Y89)</f>
        <v>288</v>
      </c>
      <c r="Z90" s="348"/>
      <c r="AA90" s="59"/>
      <c r="AB90" s="349"/>
      <c r="AC90" s="26"/>
      <c r="AD90" s="60">
        <f>SUM(AD50:AD89)</f>
        <v>196</v>
      </c>
      <c r="AE90" s="26">
        <f>SUM(AE50:AE89)</f>
        <v>4704</v>
      </c>
    </row>
    <row r="91" spans="1:31" ht="16.5" thickBot="1" x14ac:dyDescent="0.25">
      <c r="A91" s="396"/>
      <c r="B91" s="21"/>
      <c r="C91" s="21"/>
      <c r="D91" s="21"/>
      <c r="E91" s="21"/>
      <c r="F91" s="21"/>
      <c r="G91" s="22"/>
      <c r="H91" s="47">
        <f>ROUND(H49+H90,1)</f>
        <v>402</v>
      </c>
      <c r="I91" s="23"/>
      <c r="J91" s="24"/>
      <c r="K91" s="23"/>
      <c r="L91" s="23"/>
      <c r="M91" s="23"/>
      <c r="N91" s="23"/>
      <c r="O91" s="35"/>
      <c r="P91" s="43"/>
      <c r="Q91" s="63">
        <f>Q49+Q90</f>
        <v>392</v>
      </c>
      <c r="R91" s="63">
        <f t="shared" ref="R91:T91" si="25">R49+R90</f>
        <v>102</v>
      </c>
      <c r="S91" s="63">
        <f t="shared" si="25"/>
        <v>494</v>
      </c>
      <c r="T91" s="63">
        <f t="shared" si="25"/>
        <v>494</v>
      </c>
    </row>
    <row r="92" spans="1:31" ht="18" customHeight="1" x14ac:dyDescent="0.2">
      <c r="M92" s="25"/>
    </row>
  </sheetData>
  <sheetProtection algorithmName="SHA-512" hashValue="2kPMu4tgWrQabmG7JYZOlCt8e0y7cX9VKB96hHsmTAmDem7AGq8xQFVHjdsVpqv1hxJtn+Rp4UgQXj1b56rxUw==" saltValue="kbYhUbXSggi6rMFL8kc+5A==" spinCount="100000" sheet="1" formatCells="0" formatRows="0" autoFilter="0"/>
  <mergeCells count="177">
    <mergeCell ref="AE7:AE8"/>
    <mergeCell ref="L29:O29"/>
    <mergeCell ref="L43:O43"/>
    <mergeCell ref="L44:O44"/>
    <mergeCell ref="L45:O45"/>
    <mergeCell ref="L46:O46"/>
    <mergeCell ref="L47:O47"/>
    <mergeCell ref="L48:O48"/>
    <mergeCell ref="Z12:AB12"/>
    <mergeCell ref="Z25:AB25"/>
    <mergeCell ref="Z26:AB26"/>
    <mergeCell ref="Z27:AB27"/>
    <mergeCell ref="Z21:AB21"/>
    <mergeCell ref="Z22:AB22"/>
    <mergeCell ref="Z23:AB23"/>
    <mergeCell ref="Z24:AB24"/>
    <mergeCell ref="L9:O9"/>
    <mergeCell ref="L25:O25"/>
    <mergeCell ref="L12:O12"/>
    <mergeCell ref="Z40:AB40"/>
    <mergeCell ref="Z41:AB41"/>
    <mergeCell ref="Z42:AB42"/>
    <mergeCell ref="AD7:AD8"/>
    <mergeCell ref="AC7:AC8"/>
    <mergeCell ref="L75:O75"/>
    <mergeCell ref="L76:O76"/>
    <mergeCell ref="H7:H8"/>
    <mergeCell ref="A9:A49"/>
    <mergeCell ref="A50:A90"/>
    <mergeCell ref="L51:O51"/>
    <mergeCell ref="L64:O64"/>
    <mergeCell ref="L17:O17"/>
    <mergeCell ref="Z33:AB33"/>
    <mergeCell ref="Z78:AB78"/>
    <mergeCell ref="L14:O14"/>
    <mergeCell ref="L18:O18"/>
    <mergeCell ref="L19:O19"/>
    <mergeCell ref="L20:O20"/>
    <mergeCell ref="L21:O21"/>
    <mergeCell ref="L22:O22"/>
    <mergeCell ref="L23:O23"/>
    <mergeCell ref="Z29:AB29"/>
    <mergeCell ref="Z30:AB30"/>
    <mergeCell ref="L72:O72"/>
    <mergeCell ref="L88:O88"/>
    <mergeCell ref="Z31:AB31"/>
    <mergeCell ref="Z39:AB39"/>
    <mergeCell ref="L77:O77"/>
    <mergeCell ref="L78:O78"/>
    <mergeCell ref="L79:O79"/>
    <mergeCell ref="L80:O80"/>
    <mergeCell ref="L81:O81"/>
    <mergeCell ref="L82:O82"/>
    <mergeCell ref="L83:O83"/>
    <mergeCell ref="B7:B8"/>
    <mergeCell ref="L70:O70"/>
    <mergeCell ref="K7:K8"/>
    <mergeCell ref="C7:C8"/>
    <mergeCell ref="E7:E8"/>
    <mergeCell ref="F7:F8"/>
    <mergeCell ref="L7:O8"/>
    <mergeCell ref="G7:G8"/>
    <mergeCell ref="I7:I8"/>
    <mergeCell ref="J7:J8"/>
    <mergeCell ref="L24:O24"/>
    <mergeCell ref="L13:O13"/>
    <mergeCell ref="D7:D8"/>
    <mergeCell ref="L15:O15"/>
    <mergeCell ref="L16:O16"/>
    <mergeCell ref="L11:O11"/>
    <mergeCell ref="L10:O10"/>
    <mergeCell ref="L69:O69"/>
    <mergeCell ref="L67:O67"/>
    <mergeCell ref="L50:O50"/>
    <mergeCell ref="L26:O26"/>
    <mergeCell ref="L27:O27"/>
    <mergeCell ref="L68:O68"/>
    <mergeCell ref="L65:O65"/>
    <mergeCell ref="L66:O66"/>
    <mergeCell ref="L28:O28"/>
    <mergeCell ref="L30:O30"/>
    <mergeCell ref="L31:O31"/>
    <mergeCell ref="L56:O56"/>
    <mergeCell ref="L41:O41"/>
    <mergeCell ref="L42:O42"/>
    <mergeCell ref="L52:O52"/>
    <mergeCell ref="L53:O53"/>
    <mergeCell ref="L54:O54"/>
    <mergeCell ref="L55:O55"/>
    <mergeCell ref="L32:O32"/>
    <mergeCell ref="L33:O33"/>
    <mergeCell ref="L34:O34"/>
    <mergeCell ref="L35:O35"/>
    <mergeCell ref="Z75:AB75"/>
    <mergeCell ref="Z7:AB8"/>
    <mergeCell ref="Z9:AB9"/>
    <mergeCell ref="Z10:AB10"/>
    <mergeCell ref="Z11:AB11"/>
    <mergeCell ref="Z13:AB13"/>
    <mergeCell ref="Z14:AB14"/>
    <mergeCell ref="Z18:AB18"/>
    <mergeCell ref="Z19:AB19"/>
    <mergeCell ref="Z20:AB20"/>
    <mergeCell ref="Z15:AB15"/>
    <mergeCell ref="Z16:AB16"/>
    <mergeCell ref="Z17:AB17"/>
    <mergeCell ref="Z32:AB32"/>
    <mergeCell ref="Z52:AB52"/>
    <mergeCell ref="Z53:AB53"/>
    <mergeCell ref="Z54:AB54"/>
    <mergeCell ref="Z55:AB55"/>
    <mergeCell ref="Z36:AB36"/>
    <mergeCell ref="Z37:AB37"/>
    <mergeCell ref="Z38:AB38"/>
    <mergeCell ref="Z34:AB34"/>
    <mergeCell ref="Z35:AB35"/>
    <mergeCell ref="Z28:AB28"/>
    <mergeCell ref="Z76:AB76"/>
    <mergeCell ref="Z77:AB77"/>
    <mergeCell ref="L36:O36"/>
    <mergeCell ref="L37:O37"/>
    <mergeCell ref="L38:O38"/>
    <mergeCell ref="L39:O39"/>
    <mergeCell ref="L40:O40"/>
    <mergeCell ref="Z79:AB79"/>
    <mergeCell ref="Z80:AB80"/>
    <mergeCell ref="L57:O57"/>
    <mergeCell ref="L58:O58"/>
    <mergeCell ref="L59:O59"/>
    <mergeCell ref="L60:O60"/>
    <mergeCell ref="L61:O61"/>
    <mergeCell ref="L62:O62"/>
    <mergeCell ref="L63:O63"/>
    <mergeCell ref="L73:O73"/>
    <mergeCell ref="Z73:AB73"/>
    <mergeCell ref="L74:O74"/>
    <mergeCell ref="Z74:AB74"/>
    <mergeCell ref="Z71:AB71"/>
    <mergeCell ref="Z72:AB72"/>
    <mergeCell ref="L71:O71"/>
    <mergeCell ref="Z56:AB56"/>
    <mergeCell ref="Z81:AB81"/>
    <mergeCell ref="Z82:AB82"/>
    <mergeCell ref="Z43:AB43"/>
    <mergeCell ref="Z44:AB44"/>
    <mergeCell ref="Z45:AB45"/>
    <mergeCell ref="Z46:AB46"/>
    <mergeCell ref="Z47:AB47"/>
    <mergeCell ref="Z48:AB48"/>
    <mergeCell ref="Z50:AB50"/>
    <mergeCell ref="Z51:AB51"/>
    <mergeCell ref="Z64:AB64"/>
    <mergeCell ref="Z65:AB65"/>
    <mergeCell ref="Z66:AB66"/>
    <mergeCell ref="Z67:AB67"/>
    <mergeCell ref="Z68:AB68"/>
    <mergeCell ref="Z69:AB69"/>
    <mergeCell ref="Z70:AB70"/>
    <mergeCell ref="Z57:AB57"/>
    <mergeCell ref="Z58:AB58"/>
    <mergeCell ref="Z59:AB59"/>
    <mergeCell ref="Z60:AB60"/>
    <mergeCell ref="Z61:AB61"/>
    <mergeCell ref="Z62:AB62"/>
    <mergeCell ref="Z63:AB63"/>
    <mergeCell ref="Z83:AB83"/>
    <mergeCell ref="L84:O84"/>
    <mergeCell ref="Z84:AB84"/>
    <mergeCell ref="Z85:AB85"/>
    <mergeCell ref="Z86:AB86"/>
    <mergeCell ref="Z87:AB87"/>
    <mergeCell ref="Z88:AB88"/>
    <mergeCell ref="Z89:AB89"/>
    <mergeCell ref="L86:O86"/>
    <mergeCell ref="L89:O89"/>
    <mergeCell ref="L85:O85"/>
    <mergeCell ref="L87:O87"/>
  </mergeCells>
  <conditionalFormatting sqref="Z9 Z26:Z28 Z86:Z89 Z36:Z48">
    <cfRule type="expression" dxfId="72" priority="387">
      <formula>$G9=#REF!</formula>
    </cfRule>
    <cfRule type="expression" dxfId="71" priority="388">
      <formula>$G9=#REF!</formula>
    </cfRule>
    <cfRule type="expression" dxfId="70" priority="389">
      <formula>$G9=#REF!</formula>
    </cfRule>
    <cfRule type="expression" dxfId="69" priority="390">
      <formula>$G9=#REF!</formula>
    </cfRule>
  </conditionalFormatting>
  <conditionalFormatting sqref="Z10:Z12">
    <cfRule type="expression" dxfId="68" priority="353">
      <formula>$G10=#REF!</formula>
    </cfRule>
    <cfRule type="expression" dxfId="67" priority="354">
      <formula>$G10=#REF!</formula>
    </cfRule>
    <cfRule type="expression" dxfId="66" priority="355">
      <formula>$G10=#REF!</formula>
    </cfRule>
    <cfRule type="expression" dxfId="65" priority="356">
      <formula>$G10=#REF!</formula>
    </cfRule>
  </conditionalFormatting>
  <conditionalFormatting sqref="Z29:Z30">
    <cfRule type="expression" dxfId="64" priority="339">
      <formula>$G29=#REF!</formula>
    </cfRule>
    <cfRule type="expression" dxfId="63" priority="340">
      <formula>$G29=#REF!</formula>
    </cfRule>
    <cfRule type="expression" dxfId="62" priority="341">
      <formula>$G29=#REF!</formula>
    </cfRule>
    <cfRule type="expression" dxfId="61" priority="342">
      <formula>$G29=#REF!</formula>
    </cfRule>
  </conditionalFormatting>
  <conditionalFormatting sqref="Z50:Z69">
    <cfRule type="expression" dxfId="60" priority="325">
      <formula>$G50=#REF!</formula>
    </cfRule>
    <cfRule type="expression" dxfId="59" priority="326">
      <formula>$G50=#REF!</formula>
    </cfRule>
    <cfRule type="expression" dxfId="58" priority="327">
      <formula>$G50=#REF!</formula>
    </cfRule>
    <cfRule type="expression" dxfId="57" priority="328">
      <formula>$G50=#REF!</formula>
    </cfRule>
  </conditionalFormatting>
  <conditionalFormatting sqref="Z70:Z72">
    <cfRule type="expression" dxfId="56" priority="311">
      <formula>$G70=#REF!</formula>
    </cfRule>
    <cfRule type="expression" dxfId="55" priority="312">
      <formula>$G70=#REF!</formula>
    </cfRule>
    <cfRule type="expression" dxfId="54" priority="313">
      <formula>$G70=#REF!</formula>
    </cfRule>
    <cfRule type="expression" dxfId="53" priority="314">
      <formula>$G70=#REF!</formula>
    </cfRule>
  </conditionalFormatting>
  <conditionalFormatting sqref="K91">
    <cfRule type="cellIs" dxfId="52" priority="106" operator="equal">
      <formula>"Mut+ext"</formula>
    </cfRule>
  </conditionalFormatting>
  <conditionalFormatting sqref="K49 K90">
    <cfRule type="cellIs" dxfId="51" priority="121" operator="equal">
      <formula>"Mut+ext"</formula>
    </cfRule>
  </conditionalFormatting>
  <conditionalFormatting sqref="K20:K28">
    <cfRule type="cellIs" dxfId="50" priority="118" operator="equal">
      <formula>"Mut+ext"</formula>
    </cfRule>
  </conditionalFormatting>
  <conditionalFormatting sqref="K29:K48">
    <cfRule type="cellIs" dxfId="49" priority="116" operator="equal">
      <formula>"Mut+ext"</formula>
    </cfRule>
  </conditionalFormatting>
  <conditionalFormatting sqref="K89">
    <cfRule type="cellIs" dxfId="48" priority="112" operator="equal">
      <formula>"Mut+ext"</formula>
    </cfRule>
  </conditionalFormatting>
  <conditionalFormatting sqref="Z13:Z25">
    <cfRule type="expression" dxfId="47" priority="73">
      <formula>$G13=#REF!</formula>
    </cfRule>
    <cfRule type="expression" dxfId="46" priority="74">
      <formula>$G13=#REF!</formula>
    </cfRule>
    <cfRule type="expression" dxfId="45" priority="75">
      <formula>$G13=#REF!</formula>
    </cfRule>
    <cfRule type="expression" dxfId="44" priority="76">
      <formula>$G13=#REF!</formula>
    </cfRule>
  </conditionalFormatting>
  <conditionalFormatting sqref="Z31">
    <cfRule type="expression" dxfId="43" priority="69">
      <formula>$G31=#REF!</formula>
    </cfRule>
    <cfRule type="expression" dxfId="42" priority="70">
      <formula>$G31=#REF!</formula>
    </cfRule>
    <cfRule type="expression" dxfId="41" priority="71">
      <formula>$G31=#REF!</formula>
    </cfRule>
    <cfRule type="expression" dxfId="40" priority="72">
      <formula>$G31=#REF!</formula>
    </cfRule>
  </conditionalFormatting>
  <conditionalFormatting sqref="Z32:Z33">
    <cfRule type="expression" dxfId="39" priority="61">
      <formula>$G32=#REF!</formula>
    </cfRule>
    <cfRule type="expression" dxfId="38" priority="62">
      <formula>$G32=#REF!</formula>
    </cfRule>
    <cfRule type="expression" dxfId="37" priority="63">
      <formula>$G32=#REF!</formula>
    </cfRule>
    <cfRule type="expression" dxfId="36" priority="64">
      <formula>$G32=#REF!</formula>
    </cfRule>
  </conditionalFormatting>
  <conditionalFormatting sqref="Z34:Z35">
    <cfRule type="expression" dxfId="35" priority="57">
      <formula>$G34=#REF!</formula>
    </cfRule>
    <cfRule type="expression" dxfId="34" priority="58">
      <formula>$G34=#REF!</formula>
    </cfRule>
    <cfRule type="expression" dxfId="33" priority="59">
      <formula>$G34=#REF!</formula>
    </cfRule>
    <cfRule type="expression" dxfId="32" priority="60">
      <formula>$G34=#REF!</formula>
    </cfRule>
  </conditionalFormatting>
  <conditionalFormatting sqref="Z73:Z85">
    <cfRule type="expression" dxfId="31" priority="53">
      <formula>$G73=#REF!</formula>
    </cfRule>
    <cfRule type="expression" dxfId="30" priority="54">
      <formula>$G73=#REF!</formula>
    </cfRule>
    <cfRule type="expression" dxfId="29" priority="55">
      <formula>$G73=#REF!</formula>
    </cfRule>
    <cfRule type="expression" dxfId="28" priority="56">
      <formula>$G73=#REF!</formula>
    </cfRule>
  </conditionalFormatting>
  <conditionalFormatting sqref="Y29:Y48">
    <cfRule type="cellIs" dxfId="27" priority="39" operator="notEqual">
      <formula>S29</formula>
    </cfRule>
  </conditionalFormatting>
  <conditionalFormatting sqref="Y50:Y69">
    <cfRule type="cellIs" dxfId="26" priority="37" operator="notEqual">
      <formula>S50</formula>
    </cfRule>
  </conditionalFormatting>
  <conditionalFormatting sqref="Y70:Y89">
    <cfRule type="cellIs" dxfId="25" priority="35" operator="notEqual">
      <formula>S70</formula>
    </cfRule>
  </conditionalFormatting>
  <conditionalFormatting sqref="Y9:Y28">
    <cfRule type="cellIs" dxfId="24" priority="29" operator="notEqual">
      <formula>S9</formula>
    </cfRule>
  </conditionalFormatting>
  <conditionalFormatting sqref="F25:F28 F20">
    <cfRule type="expression" dxfId="23" priority="26">
      <formula>E20="obligatoire"</formula>
    </cfRule>
  </conditionalFormatting>
  <conditionalFormatting sqref="F29:F48">
    <cfRule type="expression" dxfId="22" priority="25">
      <formula>E29="obligatoire"</formula>
    </cfRule>
  </conditionalFormatting>
  <conditionalFormatting sqref="F63:F69">
    <cfRule type="expression" dxfId="21" priority="24">
      <formula>E63="obligatoire"</formula>
    </cfRule>
  </conditionalFormatting>
  <conditionalFormatting sqref="F70:F89">
    <cfRule type="expression" dxfId="20" priority="23">
      <formula>E70="obligatoire"</formula>
    </cfRule>
  </conditionalFormatting>
  <conditionalFormatting sqref="F21:F22">
    <cfRule type="expression" dxfId="19" priority="16">
      <formula>E21="obligatoire"</formula>
    </cfRule>
  </conditionalFormatting>
  <conditionalFormatting sqref="F24">
    <cfRule type="expression" dxfId="18" priority="10">
      <formula>E24="obligatoire"</formula>
    </cfRule>
  </conditionalFormatting>
  <conditionalFormatting sqref="F23">
    <cfRule type="expression" dxfId="17" priority="9">
      <formula>E23="obligatoire"</formula>
    </cfRule>
  </conditionalFormatting>
  <conditionalFormatting sqref="F23">
    <cfRule type="expression" dxfId="16" priority="8">
      <formula>E23="obligatoire"</formula>
    </cfRule>
  </conditionalFormatting>
  <conditionalFormatting sqref="K50:K62">
    <cfRule type="cellIs" dxfId="15" priority="4" operator="equal">
      <formula>"Mut+ext"</formula>
    </cfRule>
  </conditionalFormatting>
  <conditionalFormatting sqref="F50:F62">
    <cfRule type="expression" dxfId="14" priority="3">
      <formula>E50="obligatoire"</formula>
    </cfRule>
  </conditionalFormatting>
  <conditionalFormatting sqref="K9:K19">
    <cfRule type="cellIs" dxfId="13" priority="2" operator="equal">
      <formula>"Mut+ext"</formula>
    </cfRule>
  </conditionalFormatting>
  <conditionalFormatting sqref="F9:F19">
    <cfRule type="expression" dxfId="12" priority="1">
      <formula>E9="obligatoire"</formula>
    </cfRule>
  </conditionalFormatting>
  <dataValidations count="4">
    <dataValidation type="list" allowBlank="1" showInputMessage="1" showErrorMessage="1" sqref="G49" xr:uid="{00000000-0002-0000-0100-000000000000}">
      <formula1>#REF!</formula1>
    </dataValidation>
    <dataValidation type="list" allowBlank="1" showInputMessage="1" showErrorMessage="1" sqref="F9:F89" xr:uid="{00000000-0002-0000-0100-000001000000}">
      <formula1>"1,2,3,4"</formula1>
    </dataValidation>
    <dataValidation type="list" allowBlank="1" showInputMessage="1" showErrorMessage="1" sqref="E9:E89" xr:uid="{00000000-0002-0000-0100-000002000000}">
      <formula1>"Obligatoire,Option"</formula1>
    </dataValidation>
    <dataValidation type="list" allowBlank="1" showInputMessage="1" showErrorMessage="1" sqref="K9:K48 K50:K89" xr:uid="{00000000-0002-0000-0100-000003000000}">
      <formula1>"Non,Mut,Mut+ext"</formula1>
    </dataValidation>
  </dataValidations>
  <pageMargins left="0.25" right="0.25" top="0.75" bottom="0.75" header="0.3" footer="0.3"/>
  <pageSetup paperSize="9" scale="3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Paramétrage!$D$6:$D$27</xm:f>
          </x14:formula1>
          <xm:sqref>G50:G89 G9:G48</xm:sqref>
        </x14:dataValidation>
        <x14:dataValidation type="list" allowBlank="1" showInputMessage="1" showErrorMessage="1" xr:uid="{00000000-0002-0000-0100-000005000000}">
          <x14:formula1>
            <xm:f>Paramétrage!$K$6:$K$12</xm:f>
          </x14:formula1>
          <xm:sqref>D50:D89 D9:D48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0"/>
  <sheetViews>
    <sheetView zoomScale="109" zoomScaleNormal="85" workbookViewId="0">
      <pane ySplit="11" topLeftCell="A22" activePane="bottomLeft" state="frozen"/>
      <selection pane="bottomLeft" activeCell="R17" sqref="R17"/>
    </sheetView>
  </sheetViews>
  <sheetFormatPr baseColWidth="10" defaultColWidth="11.42578125" defaultRowHeight="12.75" x14ac:dyDescent="0.2"/>
  <cols>
    <col min="1" max="1" width="3.140625" style="65" customWidth="1"/>
    <col min="2" max="2" width="12.7109375" style="65" customWidth="1"/>
    <col min="3" max="3" width="24" style="65" customWidth="1"/>
    <col min="4" max="6" width="11.42578125" style="65"/>
    <col min="7" max="7" width="11.42578125" style="65" customWidth="1"/>
    <col min="8" max="11" width="11.42578125" style="65"/>
    <col min="12" max="12" width="11.7109375" style="65" customWidth="1"/>
    <col min="13" max="13" width="11.42578125" style="65" customWidth="1"/>
    <col min="14" max="14" width="24.28515625" style="65" customWidth="1"/>
    <col min="15" max="15" width="9.85546875" style="65" customWidth="1"/>
    <col min="16" max="17" width="6.7109375" style="65" customWidth="1"/>
    <col min="18" max="16384" width="11.42578125" style="65"/>
  </cols>
  <sheetData>
    <row r="1" spans="1:18" ht="7.35" customHeight="1" thickBot="1" x14ac:dyDescent="0.25">
      <c r="H1" s="66"/>
      <c r="I1" s="67"/>
      <c r="J1" s="68"/>
      <c r="K1" s="66"/>
      <c r="L1" s="66"/>
    </row>
    <row r="2" spans="1:18" ht="28.35" customHeight="1" thickBot="1" x14ac:dyDescent="0.25">
      <c r="A2" s="69"/>
      <c r="B2" s="479" t="s">
        <v>56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1"/>
    </row>
    <row r="3" spans="1:18" ht="12.6" customHeight="1" x14ac:dyDescent="0.2">
      <c r="F3" s="66"/>
      <c r="G3" s="66"/>
      <c r="H3" s="66"/>
      <c r="I3" s="66"/>
      <c r="J3" s="68"/>
      <c r="K3" s="66"/>
      <c r="L3" s="66"/>
    </row>
    <row r="4" spans="1:18" ht="22.35" customHeight="1" x14ac:dyDescent="0.2">
      <c r="C4" s="70" t="s">
        <v>57</v>
      </c>
      <c r="D4" s="476" t="s">
        <v>58</v>
      </c>
      <c r="E4" s="478"/>
      <c r="G4" s="70" t="s">
        <v>59</v>
      </c>
      <c r="H4" s="476" t="s">
        <v>308</v>
      </c>
      <c r="I4" s="477"/>
      <c r="J4" s="477"/>
      <c r="K4" s="478"/>
    </row>
    <row r="5" spans="1:18" ht="22.35" customHeight="1" x14ac:dyDescent="0.2">
      <c r="C5" s="71" t="s">
        <v>60</v>
      </c>
      <c r="D5" s="482">
        <v>36389</v>
      </c>
      <c r="E5" s="478"/>
      <c r="G5" s="70" t="s">
        <v>61</v>
      </c>
      <c r="H5" s="483" t="s">
        <v>309</v>
      </c>
      <c r="I5" s="477"/>
      <c r="J5" s="477"/>
      <c r="K5" s="478"/>
    </row>
    <row r="6" spans="1:18" ht="22.35" customHeight="1" x14ac:dyDescent="0.2">
      <c r="C6" s="474" t="s">
        <v>0</v>
      </c>
      <c r="D6" s="475"/>
      <c r="E6" s="72">
        <v>22</v>
      </c>
      <c r="G6" s="70" t="s">
        <v>62</v>
      </c>
      <c r="H6" s="476" t="s">
        <v>211</v>
      </c>
      <c r="I6" s="477"/>
      <c r="J6" s="477"/>
      <c r="K6" s="478"/>
      <c r="N6" s="73" t="s">
        <v>63</v>
      </c>
    </row>
    <row r="7" spans="1:18" ht="22.35" customHeight="1" x14ac:dyDescent="0.2">
      <c r="C7" s="474" t="s">
        <v>1</v>
      </c>
      <c r="D7" s="475"/>
      <c r="E7" s="72">
        <v>22</v>
      </c>
      <c r="G7" s="74" t="s">
        <v>64</v>
      </c>
      <c r="J7" s="75">
        <v>2022</v>
      </c>
      <c r="K7" s="75">
        <v>2023</v>
      </c>
    </row>
    <row r="8" spans="1:18" ht="18" customHeight="1" x14ac:dyDescent="0.2">
      <c r="E8" s="76"/>
      <c r="G8" s="77"/>
    </row>
    <row r="9" spans="1:18" ht="26.1" customHeight="1" x14ac:dyDescent="0.2">
      <c r="B9" s="486" t="s">
        <v>65</v>
      </c>
      <c r="C9" s="486"/>
      <c r="D9" s="486"/>
      <c r="E9" s="78">
        <f>'Budget détaillé'!J73</f>
        <v>0</v>
      </c>
      <c r="F9" s="487" t="s">
        <v>66</v>
      </c>
      <c r="G9" s="487"/>
      <c r="H9" s="494" t="s">
        <v>67</v>
      </c>
      <c r="I9" s="494"/>
      <c r="J9" s="494"/>
      <c r="K9" s="78">
        <f>'Recettes et simulat'!K27+'Recettes et simulat'!F38-'Budget détaillé'!K60</f>
        <v>45912.224489795917</v>
      </c>
    </row>
    <row r="10" spans="1:18" ht="22.35" customHeight="1" x14ac:dyDescent="0.2">
      <c r="B10" s="486" t="s">
        <v>68</v>
      </c>
      <c r="C10" s="486"/>
      <c r="D10" s="486"/>
      <c r="E10" s="78">
        <f>E9+K9</f>
        <v>45912.224489795917</v>
      </c>
      <c r="F10" s="487"/>
      <c r="G10" s="487"/>
      <c r="H10" s="494" t="s">
        <v>69</v>
      </c>
      <c r="I10" s="494"/>
      <c r="J10" s="494"/>
      <c r="K10" s="78">
        <f>'Budget détaillé'!K61</f>
        <v>5253.9897959183672</v>
      </c>
    </row>
    <row r="11" spans="1:18" ht="17.100000000000001" customHeight="1" thickBot="1" x14ac:dyDescent="0.25"/>
    <row r="12" spans="1:18" ht="18.600000000000001" customHeight="1" thickBot="1" x14ac:dyDescent="0.25">
      <c r="B12" s="491" t="s">
        <v>70</v>
      </c>
      <c r="C12" s="492"/>
      <c r="D12" s="492"/>
      <c r="E12" s="492"/>
      <c r="F12" s="492"/>
      <c r="G12" s="492"/>
      <c r="H12" s="492"/>
      <c r="I12" s="492"/>
      <c r="J12" s="492"/>
      <c r="K12" s="492"/>
      <c r="L12" s="492"/>
      <c r="M12" s="492"/>
      <c r="N12" s="493"/>
    </row>
    <row r="13" spans="1:18" ht="13.5" thickBot="1" x14ac:dyDescent="0.25"/>
    <row r="14" spans="1:18" ht="51.75" thickBot="1" x14ac:dyDescent="0.25">
      <c r="B14" s="79" t="s">
        <v>71</v>
      </c>
      <c r="C14" s="80" t="s">
        <v>72</v>
      </c>
      <c r="D14" s="80" t="s">
        <v>37</v>
      </c>
      <c r="E14" s="80" t="s">
        <v>73</v>
      </c>
      <c r="F14" s="80" t="s">
        <v>74</v>
      </c>
      <c r="G14" s="80" t="s">
        <v>75</v>
      </c>
      <c r="H14" s="80" t="s">
        <v>23</v>
      </c>
      <c r="I14" s="81" t="s">
        <v>76</v>
      </c>
      <c r="J14" s="80" t="s">
        <v>77</v>
      </c>
      <c r="K14" s="80" t="s">
        <v>78</v>
      </c>
      <c r="L14" s="80" t="s">
        <v>79</v>
      </c>
      <c r="M14" s="488" t="s">
        <v>80</v>
      </c>
      <c r="N14" s="481"/>
      <c r="P14" s="82" t="s">
        <v>81</v>
      </c>
      <c r="Q14" s="82">
        <v>250</v>
      </c>
      <c r="R14" s="82">
        <v>400</v>
      </c>
    </row>
    <row r="15" spans="1:18" ht="20.45" customHeight="1" thickBot="1" x14ac:dyDescent="0.25">
      <c r="B15" s="407" t="s">
        <v>82</v>
      </c>
      <c r="C15" s="191"/>
      <c r="D15" s="191"/>
      <c r="E15" s="83"/>
      <c r="F15" s="411">
        <v>173</v>
      </c>
      <c r="G15" s="72">
        <f>E6-E7</f>
        <v>0</v>
      </c>
      <c r="H15" s="85">
        <f>F15*G15</f>
        <v>0</v>
      </c>
      <c r="I15" s="86"/>
      <c r="J15" s="87"/>
      <c r="K15" s="87"/>
      <c r="L15" s="87"/>
      <c r="M15" s="87"/>
      <c r="N15" s="88"/>
      <c r="P15" s="82" t="s">
        <v>83</v>
      </c>
      <c r="Q15" s="82">
        <v>400</v>
      </c>
      <c r="R15" s="82"/>
    </row>
    <row r="16" spans="1:18" ht="21" customHeight="1" x14ac:dyDescent="0.2">
      <c r="B16" s="408" t="s">
        <v>84</v>
      </c>
      <c r="C16" s="409"/>
      <c r="D16" s="409"/>
      <c r="E16" s="409"/>
      <c r="F16" s="409"/>
      <c r="G16" s="409"/>
      <c r="H16" s="409"/>
      <c r="I16" s="409"/>
      <c r="J16" s="409"/>
      <c r="K16" s="409"/>
      <c r="L16" s="409"/>
      <c r="M16" s="409"/>
      <c r="N16" s="410"/>
    </row>
    <row r="17" spans="2:14" x14ac:dyDescent="0.2">
      <c r="B17" s="89" t="s">
        <v>85</v>
      </c>
      <c r="C17" s="90" t="s">
        <v>83</v>
      </c>
      <c r="D17" s="413">
        <f>+Enseignements!$H$5</f>
        <v>402</v>
      </c>
      <c r="E17" s="84">
        <v>8000</v>
      </c>
      <c r="F17" s="412"/>
      <c r="G17" s="72">
        <v>10</v>
      </c>
      <c r="H17" s="85">
        <f>(E17+F17)*G17</f>
        <v>80000</v>
      </c>
      <c r="I17" s="85">
        <f t="shared" ref="I17:I26" si="0">IF(D17=0,0,E17/D17)</f>
        <v>19.900497512437809</v>
      </c>
      <c r="J17" s="91">
        <v>0.05</v>
      </c>
      <c r="K17" s="85">
        <f>(E17*G17)*(1-J17)+F17*G17</f>
        <v>76000</v>
      </c>
      <c r="L17" s="85">
        <f t="shared" ref="L17:L26" si="1">IF((D17*G17)=0,0,K17/(D17*G17))</f>
        <v>18.905472636815919</v>
      </c>
      <c r="M17" s="489" t="s">
        <v>312</v>
      </c>
      <c r="N17" s="490"/>
    </row>
    <row r="18" spans="2:14" ht="40.35" customHeight="1" x14ac:dyDescent="0.2">
      <c r="B18" s="89" t="s">
        <v>86</v>
      </c>
      <c r="C18" s="90" t="s">
        <v>83</v>
      </c>
      <c r="D18" s="413">
        <f>+Enseignements!$H$5</f>
        <v>402</v>
      </c>
      <c r="E18" s="84">
        <v>8000</v>
      </c>
      <c r="F18" s="84"/>
      <c r="G18" s="72">
        <v>2</v>
      </c>
      <c r="H18" s="85">
        <f t="shared" ref="H18:H26" si="2">(E18+F18)*G18</f>
        <v>16000</v>
      </c>
      <c r="I18" s="85">
        <f t="shared" si="0"/>
        <v>19.900497512437809</v>
      </c>
      <c r="J18" s="91">
        <v>0.05</v>
      </c>
      <c r="K18" s="85">
        <f t="shared" ref="K18:K26" si="3">(E18*G18)*(1-J18)+F18*G18</f>
        <v>15200</v>
      </c>
      <c r="L18" s="85">
        <f t="shared" si="1"/>
        <v>18.905472636815919</v>
      </c>
      <c r="M18" s="484" t="s">
        <v>316</v>
      </c>
      <c r="N18" s="485"/>
    </row>
    <row r="19" spans="2:14" ht="27" customHeight="1" x14ac:dyDescent="0.2">
      <c r="B19" s="89" t="s">
        <v>87</v>
      </c>
      <c r="C19" s="90" t="s">
        <v>83</v>
      </c>
      <c r="D19" s="413">
        <f>+Enseignements!$H$5</f>
        <v>402</v>
      </c>
      <c r="E19" s="84">
        <v>8000</v>
      </c>
      <c r="F19" s="84"/>
      <c r="G19" s="72">
        <v>2</v>
      </c>
      <c r="H19" s="85">
        <f t="shared" si="2"/>
        <v>16000</v>
      </c>
      <c r="I19" s="85">
        <f t="shared" si="0"/>
        <v>19.900497512437809</v>
      </c>
      <c r="J19" s="91">
        <v>0.05</v>
      </c>
      <c r="K19" s="85">
        <f t="shared" si="3"/>
        <v>15200</v>
      </c>
      <c r="L19" s="85">
        <f t="shared" si="1"/>
        <v>18.905472636815919</v>
      </c>
      <c r="M19" s="484" t="s">
        <v>313</v>
      </c>
      <c r="N19" s="485"/>
    </row>
    <row r="20" spans="2:14" ht="38.450000000000003" customHeight="1" x14ac:dyDescent="0.2">
      <c r="B20" s="89" t="s">
        <v>88</v>
      </c>
      <c r="C20" s="90" t="s">
        <v>83</v>
      </c>
      <c r="D20" s="413">
        <f>+Enseignements!$H$5</f>
        <v>402</v>
      </c>
      <c r="E20" s="84">
        <v>8000</v>
      </c>
      <c r="F20" s="84"/>
      <c r="G20" s="439">
        <v>3</v>
      </c>
      <c r="H20" s="85">
        <f t="shared" si="2"/>
        <v>24000</v>
      </c>
      <c r="I20" s="85">
        <f t="shared" si="0"/>
        <v>19.900497512437809</v>
      </c>
      <c r="J20" s="91">
        <v>0.05</v>
      </c>
      <c r="K20" s="85">
        <f t="shared" si="3"/>
        <v>22800</v>
      </c>
      <c r="L20" s="85">
        <f t="shared" si="1"/>
        <v>18.905472636815919</v>
      </c>
      <c r="M20" s="484" t="s">
        <v>311</v>
      </c>
      <c r="N20" s="485"/>
    </row>
    <row r="21" spans="2:14" ht="37.35" customHeight="1" x14ac:dyDescent="0.2">
      <c r="B21" s="89" t="s">
        <v>89</v>
      </c>
      <c r="C21" s="90" t="s">
        <v>81</v>
      </c>
      <c r="D21" s="413">
        <f>+Enseignements!$H$5</f>
        <v>402</v>
      </c>
      <c r="E21" s="84">
        <v>6800</v>
      </c>
      <c r="F21" s="84"/>
      <c r="G21" s="439">
        <v>3</v>
      </c>
      <c r="H21" s="85">
        <f t="shared" si="2"/>
        <v>20400</v>
      </c>
      <c r="I21" s="85">
        <f t="shared" si="0"/>
        <v>16.915422885572138</v>
      </c>
      <c r="J21" s="91">
        <v>0.05</v>
      </c>
      <c r="K21" s="85">
        <f t="shared" si="3"/>
        <v>19380</v>
      </c>
      <c r="L21" s="85">
        <f t="shared" si="1"/>
        <v>16.069651741293534</v>
      </c>
      <c r="M21" s="484" t="s">
        <v>311</v>
      </c>
      <c r="N21" s="485"/>
    </row>
    <row r="22" spans="2:14" ht="35.1" customHeight="1" x14ac:dyDescent="0.2">
      <c r="B22" s="89" t="s">
        <v>90</v>
      </c>
      <c r="C22" s="90" t="s">
        <v>81</v>
      </c>
      <c r="D22" s="72">
        <v>402</v>
      </c>
      <c r="E22" s="84">
        <v>6800</v>
      </c>
      <c r="F22" s="84"/>
      <c r="G22" s="72">
        <v>2</v>
      </c>
      <c r="H22" s="85">
        <f t="shared" si="2"/>
        <v>13600</v>
      </c>
      <c r="I22" s="85">
        <f t="shared" si="0"/>
        <v>16.915422885572138</v>
      </c>
      <c r="J22" s="91">
        <v>0.05</v>
      </c>
      <c r="K22" s="85">
        <f t="shared" si="3"/>
        <v>12920</v>
      </c>
      <c r="L22" s="85">
        <f t="shared" si="1"/>
        <v>16.069651741293534</v>
      </c>
      <c r="M22" s="484" t="s">
        <v>316</v>
      </c>
      <c r="N22" s="485"/>
    </row>
    <row r="23" spans="2:14" x14ac:dyDescent="0.2">
      <c r="B23" s="89" t="s">
        <v>91</v>
      </c>
      <c r="C23" s="90"/>
      <c r="D23" s="72"/>
      <c r="E23" s="84"/>
      <c r="F23" s="84"/>
      <c r="G23" s="72"/>
      <c r="H23" s="85">
        <f t="shared" si="2"/>
        <v>0</v>
      </c>
      <c r="I23" s="85">
        <f t="shared" si="0"/>
        <v>0</v>
      </c>
      <c r="J23" s="91"/>
      <c r="K23" s="85">
        <f t="shared" si="3"/>
        <v>0</v>
      </c>
      <c r="L23" s="85">
        <f t="shared" si="1"/>
        <v>0</v>
      </c>
      <c r="M23" s="489"/>
      <c r="N23" s="490"/>
    </row>
    <row r="24" spans="2:14" x14ac:dyDescent="0.2">
      <c r="B24" s="89" t="s">
        <v>92</v>
      </c>
      <c r="C24" s="90"/>
      <c r="D24" s="439"/>
      <c r="E24" s="84"/>
      <c r="F24" s="84"/>
      <c r="G24" s="439"/>
      <c r="H24" s="85">
        <f t="shared" si="2"/>
        <v>0</v>
      </c>
      <c r="I24" s="85">
        <f t="shared" si="0"/>
        <v>0</v>
      </c>
      <c r="J24" s="91"/>
      <c r="K24" s="85">
        <f t="shared" si="3"/>
        <v>0</v>
      </c>
      <c r="L24" s="85">
        <f t="shared" si="1"/>
        <v>0</v>
      </c>
      <c r="M24" s="484"/>
      <c r="N24" s="485"/>
    </row>
    <row r="25" spans="2:14" x14ac:dyDescent="0.2">
      <c r="B25" s="89" t="s">
        <v>93</v>
      </c>
      <c r="C25" s="90"/>
      <c r="D25" s="72"/>
      <c r="E25" s="84"/>
      <c r="F25" s="84"/>
      <c r="G25" s="72"/>
      <c r="H25" s="85">
        <f t="shared" si="2"/>
        <v>0</v>
      </c>
      <c r="I25" s="85">
        <f t="shared" si="0"/>
        <v>0</v>
      </c>
      <c r="J25" s="91"/>
      <c r="K25" s="85">
        <f t="shared" si="3"/>
        <v>0</v>
      </c>
      <c r="L25" s="85">
        <f t="shared" si="1"/>
        <v>0</v>
      </c>
      <c r="M25" s="489"/>
      <c r="N25" s="490"/>
    </row>
    <row r="26" spans="2:14" x14ac:dyDescent="0.2">
      <c r="B26" s="92" t="s">
        <v>94</v>
      </c>
      <c r="C26" s="93"/>
      <c r="D26" s="72"/>
      <c r="E26" s="94"/>
      <c r="F26" s="84"/>
      <c r="G26" s="72"/>
      <c r="H26" s="85">
        <f t="shared" si="2"/>
        <v>0</v>
      </c>
      <c r="I26" s="85">
        <f t="shared" si="0"/>
        <v>0</v>
      </c>
      <c r="J26" s="91"/>
      <c r="K26" s="85">
        <f t="shared" si="3"/>
        <v>0</v>
      </c>
      <c r="L26" s="85">
        <f t="shared" si="1"/>
        <v>0</v>
      </c>
      <c r="M26" s="489"/>
      <c r="N26" s="490"/>
    </row>
    <row r="27" spans="2:14" ht="13.5" thickBot="1" x14ac:dyDescent="0.25">
      <c r="B27" s="500" t="s">
        <v>95</v>
      </c>
      <c r="C27" s="501"/>
      <c r="D27" s="414">
        <f>IF(G27=0,0,SUMPRODUCT(D17:D26,G17:G26)/G27)</f>
        <v>402</v>
      </c>
      <c r="E27" s="96"/>
      <c r="F27" s="95"/>
      <c r="G27" s="95">
        <f>SUM(G17:G26)</f>
        <v>22</v>
      </c>
      <c r="H27" s="97">
        <f>SUM(H17:H26)</f>
        <v>170000</v>
      </c>
      <c r="I27" s="98">
        <f>IF(SUMPRODUCT(G17:G26,D17:D26)=0,0,H27/SUMPRODUCT(G17:G26,D17:D26))</f>
        <v>19.22207146087743</v>
      </c>
      <c r="J27" s="95"/>
      <c r="K27" s="97">
        <f>SUM(K17:K26)</f>
        <v>161500</v>
      </c>
      <c r="L27" s="97">
        <f>IF(D27=0,0,IF(SUMPRODUCT(G17:G26,D17:D26)=0,0,K27/SUMPRODUCT(G17:G26,D17:D26)))</f>
        <v>18.260967887833559</v>
      </c>
      <c r="M27" s="502"/>
      <c r="N27" s="503"/>
    </row>
    <row r="28" spans="2:14" x14ac:dyDescent="0.2">
      <c r="B28" s="74"/>
      <c r="C28" s="74"/>
      <c r="D28" s="71"/>
      <c r="E28" s="77"/>
      <c r="F28" s="71"/>
      <c r="G28" s="99"/>
      <c r="H28" s="99"/>
      <c r="I28" s="77"/>
      <c r="J28" s="99"/>
      <c r="K28" s="99"/>
      <c r="L28" s="99"/>
      <c r="M28" s="77"/>
    </row>
    <row r="29" spans="2:14" ht="13.5" thickBot="1" x14ac:dyDescent="0.25"/>
    <row r="30" spans="2:14" ht="18.600000000000001" customHeight="1" thickBot="1" x14ac:dyDescent="0.25">
      <c r="B30" s="491" t="s">
        <v>96</v>
      </c>
      <c r="C30" s="492"/>
      <c r="D30" s="492"/>
      <c r="E30" s="492"/>
      <c r="F30" s="492"/>
      <c r="G30" s="492"/>
      <c r="H30" s="492"/>
      <c r="I30" s="492"/>
      <c r="J30" s="492"/>
      <c r="K30" s="492"/>
      <c r="L30" s="492"/>
      <c r="M30" s="493"/>
    </row>
    <row r="31" spans="2:14" ht="13.5" thickBot="1" x14ac:dyDescent="0.25"/>
    <row r="32" spans="2:14" ht="21" customHeight="1" x14ac:dyDescent="0.2">
      <c r="B32" s="495" t="s">
        <v>97</v>
      </c>
      <c r="C32" s="496"/>
      <c r="D32" s="497"/>
      <c r="E32" s="100" t="s">
        <v>98</v>
      </c>
      <c r="F32" s="100" t="s">
        <v>99</v>
      </c>
      <c r="G32" s="498" t="s">
        <v>100</v>
      </c>
      <c r="H32" s="496"/>
      <c r="I32" s="496"/>
      <c r="J32" s="496"/>
      <c r="K32" s="499"/>
    </row>
    <row r="33" spans="2:13" x14ac:dyDescent="0.2">
      <c r="B33" s="504"/>
      <c r="C33" s="505"/>
      <c r="D33" s="505"/>
      <c r="E33" s="90"/>
      <c r="F33" s="84"/>
      <c r="G33" s="506"/>
      <c r="H33" s="506"/>
      <c r="I33" s="506"/>
      <c r="J33" s="506"/>
      <c r="K33" s="507"/>
    </row>
    <row r="34" spans="2:13" x14ac:dyDescent="0.2">
      <c r="B34" s="504"/>
      <c r="C34" s="505"/>
      <c r="D34" s="505"/>
      <c r="E34" s="90"/>
      <c r="F34" s="84"/>
      <c r="G34" s="506"/>
      <c r="H34" s="506"/>
      <c r="I34" s="506"/>
      <c r="J34" s="506"/>
      <c r="K34" s="507"/>
    </row>
    <row r="35" spans="2:13" x14ac:dyDescent="0.2">
      <c r="B35" s="504"/>
      <c r="C35" s="505"/>
      <c r="D35" s="505"/>
      <c r="E35" s="90"/>
      <c r="F35" s="84"/>
      <c r="G35" s="506"/>
      <c r="H35" s="506"/>
      <c r="I35" s="506"/>
      <c r="J35" s="506"/>
      <c r="K35" s="507"/>
    </row>
    <row r="36" spans="2:13" x14ac:dyDescent="0.2">
      <c r="B36" s="508"/>
      <c r="C36" s="509"/>
      <c r="D36" s="509"/>
      <c r="E36" s="90"/>
      <c r="F36" s="84"/>
      <c r="G36" s="506"/>
      <c r="H36" s="506"/>
      <c r="I36" s="506"/>
      <c r="J36" s="506"/>
      <c r="K36" s="507"/>
    </row>
    <row r="37" spans="2:13" x14ac:dyDescent="0.2">
      <c r="B37" s="508"/>
      <c r="C37" s="509"/>
      <c r="D37" s="509"/>
      <c r="E37" s="90"/>
      <c r="F37" s="84"/>
      <c r="G37" s="506"/>
      <c r="H37" s="506"/>
      <c r="I37" s="506"/>
      <c r="J37" s="506"/>
      <c r="K37" s="507"/>
    </row>
    <row r="38" spans="2:13" ht="13.5" thickBot="1" x14ac:dyDescent="0.25">
      <c r="B38" s="510" t="s">
        <v>101</v>
      </c>
      <c r="C38" s="511"/>
      <c r="D38" s="511"/>
      <c r="E38" s="511"/>
      <c r="F38" s="101">
        <f>SUM(F33:F37)</f>
        <v>0</v>
      </c>
      <c r="G38" s="512"/>
      <c r="H38" s="513"/>
      <c r="I38" s="513"/>
      <c r="J38" s="513"/>
      <c r="K38" s="514"/>
      <c r="L38" s="77"/>
      <c r="M38" s="77"/>
    </row>
    <row r="39" spans="2:13" x14ac:dyDescent="0.2">
      <c r="F39" s="66"/>
    </row>
    <row r="40" spans="2:13" ht="32.450000000000003" customHeight="1" x14ac:dyDescent="0.2"/>
  </sheetData>
  <sheetProtection algorithmName="SHA-512" hashValue="w3G6exQa9BUDpoaKnAybT4z/NbxkNEabV6NJsX3FdnKV3hf5/AkJ/HthK4CN1v8MBmBbWfXjOrYwclS8qlbAzg==" saltValue="tkJGeRIR0E42FDc3fTKGTA==" spinCount="100000" sheet="1" formatCells="0" formatColumns="0" formatRows="0" autoFilter="0"/>
  <mergeCells count="42">
    <mergeCell ref="B36:D36"/>
    <mergeCell ref="G36:K36"/>
    <mergeCell ref="B37:D37"/>
    <mergeCell ref="G37:K37"/>
    <mergeCell ref="B38:E38"/>
    <mergeCell ref="G38:K38"/>
    <mergeCell ref="B33:D33"/>
    <mergeCell ref="G33:K33"/>
    <mergeCell ref="B34:D34"/>
    <mergeCell ref="G34:K34"/>
    <mergeCell ref="B35:D35"/>
    <mergeCell ref="G35:K35"/>
    <mergeCell ref="B32:D32"/>
    <mergeCell ref="G32:K32"/>
    <mergeCell ref="M19:N19"/>
    <mergeCell ref="M20:N20"/>
    <mergeCell ref="M21:N21"/>
    <mergeCell ref="M22:N22"/>
    <mergeCell ref="M23:N23"/>
    <mergeCell ref="M24:N24"/>
    <mergeCell ref="M25:N25"/>
    <mergeCell ref="M26:N26"/>
    <mergeCell ref="B27:C27"/>
    <mergeCell ref="M27:N27"/>
    <mergeCell ref="B30:M30"/>
    <mergeCell ref="M18:N18"/>
    <mergeCell ref="C7:D7"/>
    <mergeCell ref="B9:D9"/>
    <mergeCell ref="F9:G10"/>
    <mergeCell ref="B10:D10"/>
    <mergeCell ref="M14:N14"/>
    <mergeCell ref="M17:N17"/>
    <mergeCell ref="B12:N12"/>
    <mergeCell ref="H9:J9"/>
    <mergeCell ref="H10:J10"/>
    <mergeCell ref="C6:D6"/>
    <mergeCell ref="H6:K6"/>
    <mergeCell ref="B2:M2"/>
    <mergeCell ref="D4:E4"/>
    <mergeCell ref="H4:K4"/>
    <mergeCell ref="D5:E5"/>
    <mergeCell ref="H5:K5"/>
  </mergeCells>
  <conditionalFormatting sqref="K9">
    <cfRule type="cellIs" dxfId="11" priority="17" operator="lessThan">
      <formula>0</formula>
    </cfRule>
    <cfRule type="cellIs" dxfId="10" priority="18" operator="greaterThan">
      <formula>0</formula>
    </cfRule>
  </conditionalFormatting>
  <conditionalFormatting sqref="E9">
    <cfRule type="cellIs" dxfId="9" priority="15" operator="lessThan">
      <formula>0</formula>
    </cfRule>
    <cfRule type="cellIs" dxfId="8" priority="16" operator="greaterThan">
      <formula>0</formula>
    </cfRule>
  </conditionalFormatting>
  <conditionalFormatting sqref="D25:D26 D17:D23">
    <cfRule type="expression" dxfId="7" priority="12" stopIfTrue="1">
      <formula>AND(C17=$P$15,D17&lt;$Q$15)</formula>
    </cfRule>
    <cfRule type="expression" dxfId="6" priority="13" stopIfTrue="1">
      <formula>AND(C17=$P$14,D17&gt;$R$14)</formula>
    </cfRule>
    <cfRule type="expression" dxfId="5" priority="14" stopIfTrue="1">
      <formula>AND(C17=$P$14,D17&lt;$Q$14)</formula>
    </cfRule>
  </conditionalFormatting>
  <conditionalFormatting sqref="E10">
    <cfRule type="cellIs" dxfId="4" priority="10" operator="lessThan">
      <formula>0</formula>
    </cfRule>
    <cfRule type="cellIs" dxfId="3" priority="11" operator="greaterThan">
      <formula>0</formula>
    </cfRule>
  </conditionalFormatting>
  <conditionalFormatting sqref="D24">
    <cfRule type="expression" dxfId="2" priority="7" stopIfTrue="1">
      <formula>AND(C24=$P$15,D24&lt;$Q$15)</formula>
    </cfRule>
    <cfRule type="expression" dxfId="1" priority="8" stopIfTrue="1">
      <formula>AND(C24=$P$14,D24&gt;$R$14)</formula>
    </cfRule>
    <cfRule type="expression" dxfId="0" priority="9" stopIfTrue="1">
      <formula>AND(C24=$P$14,D24&lt;$Q$14)</formula>
    </cfRule>
  </conditionalFormatting>
  <dataValidations count="3">
    <dataValidation type="list" allowBlank="1" showInputMessage="1" showErrorMessage="1" sqref="C17:C26" xr:uid="{00000000-0002-0000-0200-000000000000}">
      <formula1>"Formation continue,Contrat d'apprentissage,Contrat de professionnalisation"</formula1>
    </dataValidation>
    <dataValidation type="list" allowBlank="1" showInputMessage="1" showErrorMessage="1" sqref="H4:K4" xr:uid="{00000000-0002-0000-02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3:E37" xr:uid="{00000000-0002-0000-02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77"/>
  <sheetViews>
    <sheetView showGridLines="0" showZeros="0" zoomScale="99" zoomScaleNormal="99" zoomScaleSheetLayoutView="70" workbookViewId="0">
      <pane ySplit="8" topLeftCell="A12" activePane="bottomLeft" state="frozen"/>
      <selection pane="bottomLeft" activeCell="G21" sqref="G21"/>
    </sheetView>
  </sheetViews>
  <sheetFormatPr baseColWidth="10" defaultColWidth="11.42578125" defaultRowHeight="12.75" outlineLevelRow="2" outlineLevelCol="1" x14ac:dyDescent="0.2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42578125" bestFit="1" customWidth="1"/>
  </cols>
  <sheetData>
    <row r="1" spans="1:22" ht="7.35" customHeight="1" thickBot="1" x14ac:dyDescent="0.25">
      <c r="A1" s="69"/>
      <c r="B1" s="69"/>
      <c r="C1" s="69"/>
      <c r="D1" s="69"/>
      <c r="E1" s="69"/>
      <c r="F1" s="69"/>
      <c r="G1" s="69"/>
      <c r="H1" s="102"/>
      <c r="I1" s="103"/>
      <c r="J1" s="104"/>
      <c r="K1" s="102"/>
      <c r="L1" s="102"/>
      <c r="M1" s="102"/>
      <c r="N1" s="102"/>
      <c r="O1" s="102"/>
      <c r="P1" s="102"/>
      <c r="Q1" s="65"/>
      <c r="R1" s="65"/>
      <c r="S1" s="69"/>
      <c r="T1" s="69"/>
      <c r="U1" s="69"/>
      <c r="V1" s="69"/>
    </row>
    <row r="2" spans="1:22" ht="28.35" customHeight="1" thickBot="1" x14ac:dyDescent="0.25">
      <c r="A2" s="69"/>
      <c r="B2" s="479" t="s">
        <v>102</v>
      </c>
      <c r="C2" s="480"/>
      <c r="D2" s="480"/>
      <c r="E2" s="480"/>
      <c r="F2" s="480"/>
      <c r="G2" s="480"/>
      <c r="H2" s="480"/>
      <c r="I2" s="480"/>
      <c r="J2" s="480"/>
      <c r="K2" s="481"/>
      <c r="L2" s="479" t="s">
        <v>103</v>
      </c>
      <c r="M2" s="480"/>
      <c r="N2" s="480"/>
      <c r="O2" s="480"/>
      <c r="P2" s="481"/>
      <c r="Q2" s="65"/>
      <c r="R2" s="65"/>
      <c r="S2" s="69"/>
      <c r="T2" s="69"/>
      <c r="U2" s="69"/>
      <c r="V2" s="69"/>
    </row>
    <row r="3" spans="1:22" ht="15" customHeight="1" x14ac:dyDescent="0.2">
      <c r="A3" s="69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65"/>
      <c r="R3" s="65"/>
      <c r="S3" s="69"/>
      <c r="T3" s="69"/>
      <c r="U3" s="69"/>
      <c r="V3" s="69"/>
    </row>
    <row r="4" spans="1:22" ht="22.35" customHeight="1" x14ac:dyDescent="0.2">
      <c r="A4" s="69"/>
      <c r="B4" s="69"/>
      <c r="C4" s="106" t="s">
        <v>57</v>
      </c>
      <c r="D4" s="515" t="str">
        <f>'Recettes et simulat'!D4</f>
        <v>Université Lumière Lyon 2</v>
      </c>
      <c r="E4" s="516"/>
      <c r="F4" s="69"/>
      <c r="G4" s="106" t="s">
        <v>59</v>
      </c>
      <c r="H4" s="515" t="str">
        <f>'Recettes et simulat'!H4</f>
        <v>Licence Professionnelle</v>
      </c>
      <c r="I4" s="517"/>
      <c r="J4" s="517"/>
      <c r="K4" s="516"/>
      <c r="L4" s="102"/>
      <c r="M4" s="102"/>
      <c r="N4" s="102"/>
      <c r="O4" s="102"/>
      <c r="P4" s="102"/>
      <c r="Q4" s="65"/>
      <c r="R4" s="65"/>
      <c r="S4" s="69"/>
      <c r="T4" s="69"/>
      <c r="U4" s="73" t="s">
        <v>63</v>
      </c>
      <c r="V4" s="69"/>
    </row>
    <row r="5" spans="1:22" ht="22.35" customHeight="1" x14ac:dyDescent="0.2">
      <c r="A5" s="69"/>
      <c r="B5" s="69"/>
      <c r="C5" s="105" t="s">
        <v>60</v>
      </c>
      <c r="D5" s="515">
        <f>'Recettes et simulat'!D5</f>
        <v>36389</v>
      </c>
      <c r="E5" s="516"/>
      <c r="F5" s="69"/>
      <c r="G5" s="106" t="s">
        <v>104</v>
      </c>
      <c r="H5" s="515" t="str">
        <f>'Recettes et simulat'!H5</f>
        <v>ACTIVITE JURIDIQUES : ASSISTANT JURIDIQUE ANNEE 3</v>
      </c>
      <c r="I5" s="517"/>
      <c r="J5" s="517"/>
      <c r="K5" s="516"/>
      <c r="L5" s="102"/>
      <c r="M5" s="102"/>
      <c r="N5" s="102"/>
      <c r="O5" s="102"/>
      <c r="P5" s="102"/>
      <c r="Q5" s="65"/>
      <c r="R5" s="65"/>
      <c r="S5" s="69"/>
      <c r="T5" s="69"/>
      <c r="U5" s="69"/>
      <c r="V5" s="69"/>
    </row>
    <row r="6" spans="1:22" ht="22.35" customHeight="1" x14ac:dyDescent="0.2">
      <c r="A6" s="69"/>
      <c r="B6" s="69"/>
      <c r="C6" s="107" t="s">
        <v>0</v>
      </c>
      <c r="D6" s="108"/>
      <c r="E6" s="109">
        <f>'Recettes et simulat'!E6</f>
        <v>22</v>
      </c>
      <c r="F6" s="69"/>
      <c r="G6" s="106" t="s">
        <v>62</v>
      </c>
      <c r="H6" s="515" t="str">
        <f>'Recettes et simulat'!H6</f>
        <v>FJVD - Faculté de Droit Julie-Victoire Daubié</v>
      </c>
      <c r="I6" s="517"/>
      <c r="J6" s="517"/>
      <c r="K6" s="516"/>
      <c r="L6" s="102"/>
      <c r="M6" s="102"/>
      <c r="N6" s="102"/>
      <c r="O6" s="102"/>
      <c r="P6" s="102"/>
      <c r="Q6" s="65"/>
      <c r="R6" s="65"/>
      <c r="S6" s="69"/>
      <c r="T6" s="69"/>
      <c r="U6" s="69"/>
      <c r="V6" s="69"/>
    </row>
    <row r="7" spans="1:22" ht="22.35" customHeight="1" x14ac:dyDescent="0.2">
      <c r="A7" s="69"/>
      <c r="B7" s="69"/>
      <c r="C7" s="107" t="s">
        <v>1</v>
      </c>
      <c r="D7" s="108"/>
      <c r="E7" s="109">
        <f>'Recettes et simulat'!E7</f>
        <v>22</v>
      </c>
      <c r="F7" s="69"/>
      <c r="G7" s="74" t="s">
        <v>64</v>
      </c>
      <c r="H7" s="69"/>
      <c r="I7" s="69"/>
      <c r="J7" s="110">
        <f>'Recettes et simulat'!J7</f>
        <v>2022</v>
      </c>
      <c r="K7" s="110">
        <f>'Recettes et simulat'!K7</f>
        <v>2023</v>
      </c>
      <c r="L7" s="69"/>
      <c r="M7" s="69"/>
      <c r="N7" s="69"/>
      <c r="O7" s="69"/>
      <c r="P7" s="69"/>
      <c r="Q7" s="65"/>
      <c r="R7" s="65"/>
      <c r="S7" s="69"/>
      <c r="T7" s="69"/>
      <c r="U7" s="69"/>
      <c r="V7" s="69"/>
    </row>
    <row r="8" spans="1:22" ht="16.350000000000001" customHeight="1" thickBot="1" x14ac:dyDescent="0.25">
      <c r="A8" s="69"/>
      <c r="B8" s="69"/>
      <c r="C8" s="69"/>
      <c r="D8" s="69"/>
      <c r="E8" s="69"/>
      <c r="F8" s="69"/>
      <c r="G8" s="111"/>
      <c r="H8" s="69"/>
      <c r="I8" s="69"/>
      <c r="J8" s="69"/>
      <c r="K8" s="69"/>
      <c r="L8" s="69"/>
      <c r="M8" s="69"/>
      <c r="N8" s="69"/>
      <c r="O8" s="69"/>
      <c r="P8" s="69"/>
      <c r="Q8" s="65"/>
      <c r="R8" s="65"/>
      <c r="S8" s="69"/>
      <c r="T8" s="69"/>
      <c r="U8" s="112"/>
      <c r="V8" s="112"/>
    </row>
    <row r="9" spans="1:22" ht="24.6" customHeight="1" thickBot="1" x14ac:dyDescent="0.25">
      <c r="A9" s="69"/>
      <c r="B9" s="479" t="s">
        <v>105</v>
      </c>
      <c r="C9" s="480"/>
      <c r="D9" s="480"/>
      <c r="E9" s="480"/>
      <c r="F9" s="480"/>
      <c r="G9" s="480"/>
      <c r="H9" s="480"/>
      <c r="I9" s="480"/>
      <c r="J9" s="480"/>
      <c r="K9" s="481"/>
      <c r="L9" s="115"/>
      <c r="M9" s="116"/>
      <c r="N9" s="116"/>
      <c r="O9" s="116"/>
      <c r="P9" s="117"/>
      <c r="Q9" s="65"/>
      <c r="R9" s="65"/>
      <c r="S9" s="69"/>
      <c r="T9" s="65"/>
      <c r="U9" s="65"/>
      <c r="V9" s="65"/>
    </row>
    <row r="10" spans="1:22" s="65" customFormat="1" ht="12.6" customHeight="1" thickBot="1" x14ac:dyDescent="0.25">
      <c r="B10" s="118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20"/>
      <c r="V10" s="69"/>
    </row>
    <row r="11" spans="1:22" s="69" customFormat="1" ht="64.5" thickBot="1" x14ac:dyDescent="0.25">
      <c r="B11" s="121" t="s">
        <v>106</v>
      </c>
      <c r="C11" s="521" t="s">
        <v>107</v>
      </c>
      <c r="D11" s="522"/>
      <c r="E11" s="522"/>
      <c r="F11" s="523"/>
      <c r="G11" s="122" t="s">
        <v>108</v>
      </c>
      <c r="H11" s="123" t="s">
        <v>109</v>
      </c>
      <c r="I11" s="123" t="s">
        <v>110</v>
      </c>
      <c r="J11" s="124" t="s">
        <v>111</v>
      </c>
      <c r="K11" s="125" t="s">
        <v>112</v>
      </c>
      <c r="L11" s="126" t="s">
        <v>113</v>
      </c>
      <c r="M11" s="127" t="s">
        <v>114</v>
      </c>
      <c r="N11" s="127" t="s">
        <v>115</v>
      </c>
      <c r="O11" s="128" t="s">
        <v>116</v>
      </c>
      <c r="P11" s="129" t="s">
        <v>23</v>
      </c>
      <c r="Q11" s="130"/>
      <c r="R11" s="131"/>
      <c r="T11" s="65"/>
      <c r="U11" s="65"/>
      <c r="V11" s="113"/>
    </row>
    <row r="12" spans="1:22" s="113" customFormat="1" ht="21.6" customHeight="1" thickBot="1" x14ac:dyDescent="0.25">
      <c r="B12" s="132" t="s">
        <v>117</v>
      </c>
      <c r="C12" s="133"/>
      <c r="D12" s="134"/>
      <c r="E12" s="134"/>
      <c r="F12" s="134"/>
      <c r="G12" s="135">
        <f>G18+G25+G30</f>
        <v>520</v>
      </c>
      <c r="H12" s="136">
        <f>IF(G18+G25+G30=0,0,(I18+I25+I30)/(G18+G25+G30))</f>
        <v>130.899568288854</v>
      </c>
      <c r="I12" s="137">
        <f>I18+I30+I25</f>
        <v>68067.775510204083</v>
      </c>
      <c r="J12" s="138">
        <f>J18+J30+J25</f>
        <v>0</v>
      </c>
      <c r="K12" s="139">
        <f>K18+K30+K25</f>
        <v>68067.775510204083</v>
      </c>
      <c r="L12" s="140">
        <f>L18+L30+L25</f>
        <v>0</v>
      </c>
      <c r="M12" s="136">
        <f>M18+M30+M25</f>
        <v>0</v>
      </c>
      <c r="N12" s="137">
        <f t="shared" ref="N12:O12" si="0">N18+N30+N25</f>
        <v>0</v>
      </c>
      <c r="O12" s="136">
        <f t="shared" si="0"/>
        <v>0</v>
      </c>
      <c r="P12" s="139">
        <f>P18+P30+P25</f>
        <v>0</v>
      </c>
      <c r="Q12" s="141">
        <f>IF($K$70=0,0,K12/$K$70)</f>
        <v>0.42147229418083021</v>
      </c>
      <c r="R12" s="142" t="s">
        <v>118</v>
      </c>
      <c r="S12" s="69"/>
      <c r="T12" s="65"/>
      <c r="U12" s="65"/>
      <c r="V12" s="69"/>
    </row>
    <row r="13" spans="1:22" s="69" customFormat="1" ht="17.100000000000001" customHeight="1" outlineLevel="1" x14ac:dyDescent="0.2">
      <c r="B13" s="143" t="s">
        <v>119</v>
      </c>
      <c r="C13" s="144" t="s">
        <v>120</v>
      </c>
      <c r="D13" s="145"/>
      <c r="E13" s="145"/>
      <c r="F13" s="146"/>
      <c r="G13" s="147"/>
      <c r="H13" s="148"/>
      <c r="I13" s="147"/>
      <c r="J13" s="147"/>
      <c r="K13" s="149"/>
      <c r="L13" s="150"/>
      <c r="M13" s="148"/>
      <c r="N13" s="148"/>
      <c r="O13" s="148"/>
      <c r="P13" s="149"/>
      <c r="Q13" s="387"/>
      <c r="R13" s="160">
        <f>SUMIF(Enseignements!$G$9:$G$90,Paramétrage!$D$6,Enseignements!W$9:W$90)*Paramétrage!$G$6+SUMIF(Enseignements!$G$9:$G$90,Paramétrage!$D$7,Enseignements!W$9:W$90)*Paramétrage!$G$7+SUMIF(Enseignements!$G$9:$G$90,Paramétrage!$D$8,Enseignements!W$9:W$90)*Paramétrage!$G$8+SUMIF(Enseignements!$G$9:$G$90,Paramétrage!$D$9,Enseignements!W$9:W$90)*Paramétrage!$G$9+SUMIF(Enseignements!$G$9:$G$90,Paramétrage!$D$10,Enseignements!W$9:W$90)*Paramétrage!$G$10+SUMIF(Enseignements!$G$9:$G$90,Paramétrage!$D$11,Enseignements!W$9:W$90)*Paramétrage!$G$11+SUMIF(Enseignements!$G$9:$G$90,Paramétrage!$D$12,Enseignements!W$9:W$90)*Paramétrage!$G$12+SUMIF(Enseignements!$G$9:$G$90,Paramétrage!$D$13,Enseignements!W$9:W$90)*Paramétrage!$G$13+SUMIF(Enseignements!$G$9:$G$90,Paramétrage!$D$14,Enseignements!W$9:W$90)*Paramétrage!$G$14+SUMIF(Enseignements!$G$9:$G$90,Paramétrage!$D$15,Enseignements!W$9:W$90)*Paramétrage!$G$15+SUMIF(Enseignements!$G$9:$G$90,Paramétrage!$D$16,Enseignements!W$9:W$90)*Paramétrage!$G$16+SUMIF(Enseignements!$G$9:$G$90,Paramétrage!$D$17,Enseignements!W$9:W$90)*Paramétrage!$G$17+SUMIF(Enseignements!$G$9:$G$90,Paramétrage!$D$18,Enseignements!W$9:W$90)*Paramétrage!$G$18+SUMIF(Enseignements!$G$9:$G$90,Paramétrage!$D$19,Enseignements!W$9:W$90)*Paramétrage!$G$19+SUMIF(Enseignements!$G$9:$G$90,Paramétrage!$D$20,Enseignements!W$9:W$90)*Paramétrage!$G$20+SUMIF(Enseignements!$G$9:$G$90,Paramétrage!$D$21,Enseignements!W$9:W$90)*Paramétrage!$G$21+SUMIF(Enseignements!$G$9:$G$90,Paramétrage!$D$22,Enseignements!W$9:W$90)*Paramétrage!$G$22+SUMIF(Enseignements!$G$9:$G$90,Paramétrage!$D$23,Enseignements!W$9:W$90)*Paramétrage!$G$23+SUMIF(Enseignements!$G$9:$G$90,Paramétrage!$D$24,Enseignements!W$9:W$90)*Paramétrage!$G$24+SUMIF(Enseignements!$G$9:$G$90,Paramétrage!$D$25,Enseignements!W$9:W$90)*Paramétrage!$G$25+SUMIF(Enseignements!$G$9:$G$90,Paramétrage!$D$26,Enseignements!W$9:W$90)*Paramétrage!$G$26+SUMIF(Enseignements!$G$9:$G$90,Paramétrage!$D$27,Enseignements!W$9:W$90)*Paramétrage!$G$27</f>
        <v>279</v>
      </c>
      <c r="S13" s="82"/>
      <c r="T13" s="152"/>
      <c r="U13" s="82"/>
      <c r="V13" s="113"/>
    </row>
    <row r="14" spans="1:22" s="113" customFormat="1" ht="17.100000000000001" customHeight="1" outlineLevel="1" x14ac:dyDescent="0.2">
      <c r="B14" s="153" t="s">
        <v>2</v>
      </c>
      <c r="C14" s="518" t="s">
        <v>3</v>
      </c>
      <c r="D14" s="519"/>
      <c r="E14" s="519"/>
      <c r="F14" s="520"/>
      <c r="G14" s="109">
        <f>'calcul heures'!I6</f>
        <v>164</v>
      </c>
      <c r="H14" s="155">
        <v>218</v>
      </c>
      <c r="I14" s="156">
        <f>H14*G14</f>
        <v>35752</v>
      </c>
      <c r="J14" s="156">
        <f>'calcul heures'!G6*H14</f>
        <v>0</v>
      </c>
      <c r="K14" s="157">
        <f>'calcul heures'!H6*H14</f>
        <v>35752</v>
      </c>
      <c r="L14" s="158"/>
      <c r="M14" s="75"/>
      <c r="N14" s="75"/>
      <c r="O14" s="75"/>
      <c r="P14" s="159">
        <f>SUM(L14:O14)</f>
        <v>0</v>
      </c>
      <c r="Q14" s="160"/>
      <c r="R14" s="160"/>
      <c r="S14" s="160"/>
      <c r="T14" s="160"/>
      <c r="U14" s="160"/>
      <c r="V14" s="161"/>
    </row>
    <row r="15" spans="1:22" s="113" customFormat="1" ht="17.100000000000001" customHeight="1" outlineLevel="1" x14ac:dyDescent="0.2">
      <c r="B15" s="153" t="s">
        <v>4</v>
      </c>
      <c r="C15" s="518" t="s">
        <v>5</v>
      </c>
      <c r="D15" s="519"/>
      <c r="E15" s="519"/>
      <c r="F15" s="520"/>
      <c r="G15" s="109">
        <f>'calcul heures'!I7</f>
        <v>0</v>
      </c>
      <c r="H15" s="155">
        <v>110</v>
      </c>
      <c r="I15" s="162">
        <f>H15*G15</f>
        <v>0</v>
      </c>
      <c r="J15" s="156">
        <f>'calcul heures'!G7*H15</f>
        <v>0</v>
      </c>
      <c r="K15" s="157">
        <f>'calcul heures'!H7*H15</f>
        <v>0</v>
      </c>
      <c r="L15" s="158"/>
      <c r="M15" s="75"/>
      <c r="N15" s="75"/>
      <c r="O15" s="75"/>
      <c r="P15" s="163">
        <f>SUM(L15:O15)</f>
        <v>0</v>
      </c>
      <c r="Q15" s="160"/>
      <c r="R15" s="160"/>
      <c r="S15" s="160"/>
    </row>
    <row r="16" spans="1:22" s="113" customFormat="1" ht="17.100000000000001" customHeight="1" outlineLevel="1" x14ac:dyDescent="0.2">
      <c r="B16" s="153" t="s">
        <v>6</v>
      </c>
      <c r="C16" s="518" t="s">
        <v>7</v>
      </c>
      <c r="D16" s="519"/>
      <c r="E16" s="519"/>
      <c r="F16" s="520"/>
      <c r="G16" s="109">
        <f>'calcul heures'!I8</f>
        <v>228</v>
      </c>
      <c r="H16" s="155">
        <v>56</v>
      </c>
      <c r="I16" s="162">
        <f>H16*G16</f>
        <v>12768</v>
      </c>
      <c r="J16" s="156">
        <f>'calcul heures'!G8*H16</f>
        <v>0</v>
      </c>
      <c r="K16" s="157">
        <f>'calcul heures'!H8*H16</f>
        <v>12768</v>
      </c>
      <c r="L16" s="158"/>
      <c r="M16" s="75"/>
      <c r="N16" s="75"/>
      <c r="O16" s="75"/>
      <c r="P16" s="163">
        <f>SUM(L16:O16)</f>
        <v>0</v>
      </c>
      <c r="Q16" s="160"/>
      <c r="R16" s="160"/>
      <c r="S16" s="388"/>
      <c r="T16" s="160"/>
      <c r="V16" s="161"/>
    </row>
    <row r="17" spans="2:23" s="113" customFormat="1" ht="18.600000000000001" customHeight="1" outlineLevel="1" x14ac:dyDescent="0.2">
      <c r="B17" s="153" t="s">
        <v>8</v>
      </c>
      <c r="C17" s="518" t="s">
        <v>9</v>
      </c>
      <c r="D17" s="519"/>
      <c r="E17" s="519"/>
      <c r="F17" s="520"/>
      <c r="G17" s="109">
        <f>'calcul heures'!I9</f>
        <v>0</v>
      </c>
      <c r="H17" s="164"/>
      <c r="I17" s="162">
        <f t="shared" ref="I17" si="1">H17*G17</f>
        <v>0</v>
      </c>
      <c r="J17" s="156">
        <f>'calcul heures'!G9*H17</f>
        <v>0</v>
      </c>
      <c r="K17" s="157">
        <f>'calcul heures'!H9*H17</f>
        <v>0</v>
      </c>
      <c r="L17" s="158"/>
      <c r="M17" s="158"/>
      <c r="N17" s="165"/>
      <c r="O17" s="75"/>
      <c r="P17" s="163">
        <f>SUM(L17:O17)</f>
        <v>0</v>
      </c>
      <c r="Q17" s="179"/>
      <c r="R17" s="160"/>
      <c r="S17" s="160"/>
      <c r="T17" s="160"/>
      <c r="U17" s="160"/>
      <c r="V17" s="161"/>
    </row>
    <row r="18" spans="2:23" s="113" customFormat="1" ht="22.35" customHeight="1" outlineLevel="1" thickBot="1" x14ac:dyDescent="0.25">
      <c r="B18" s="524" t="s">
        <v>10</v>
      </c>
      <c r="C18" s="525"/>
      <c r="D18" s="525"/>
      <c r="E18" s="525"/>
      <c r="F18" s="526"/>
      <c r="G18" s="166">
        <f>SUM(G14:G17)</f>
        <v>392</v>
      </c>
      <c r="H18" s="167">
        <f>IF(G18=0,0,I18/G18)</f>
        <v>123.77551020408163</v>
      </c>
      <c r="I18" s="168">
        <f>SUM(I14:I17)</f>
        <v>48520</v>
      </c>
      <c r="J18" s="169">
        <f>SUM(J14:J17)</f>
        <v>0</v>
      </c>
      <c r="K18" s="170">
        <f>SUM(K14:K17)</f>
        <v>48520</v>
      </c>
      <c r="L18" s="171">
        <f>SUM(L14:L17)</f>
        <v>0</v>
      </c>
      <c r="M18" s="168">
        <f>SUM(M14:M17)</f>
        <v>0</v>
      </c>
      <c r="N18" s="168">
        <f t="shared" ref="N18:P18" si="2">SUM(N14:N17)</f>
        <v>0</v>
      </c>
      <c r="O18" s="168">
        <f t="shared" si="2"/>
        <v>0</v>
      </c>
      <c r="P18" s="170">
        <f t="shared" si="2"/>
        <v>0</v>
      </c>
      <c r="Q18" s="141">
        <f>IF($K$70=0,0,K18/$K$70)</f>
        <v>0.30043343653250776</v>
      </c>
      <c r="R18" s="142" t="s">
        <v>118</v>
      </c>
      <c r="S18" s="69"/>
      <c r="T18" s="65"/>
      <c r="U18" s="65"/>
      <c r="V18" s="69"/>
    </row>
    <row r="19" spans="2:23" s="69" customFormat="1" ht="17.100000000000001" customHeight="1" outlineLevel="1" x14ac:dyDescent="0.2">
      <c r="B19" s="143" t="s">
        <v>11</v>
      </c>
      <c r="C19" s="144" t="s">
        <v>12</v>
      </c>
      <c r="D19" s="145"/>
      <c r="E19" s="145"/>
      <c r="F19" s="146"/>
      <c r="G19" s="147"/>
      <c r="H19" s="148"/>
      <c r="I19" s="147"/>
      <c r="J19" s="147"/>
      <c r="K19" s="149"/>
      <c r="L19" s="150"/>
      <c r="M19" s="148"/>
      <c r="N19" s="148"/>
      <c r="O19" s="148"/>
      <c r="P19" s="149"/>
      <c r="Q19" s="172"/>
      <c r="R19" s="65"/>
      <c r="S19" s="65"/>
      <c r="T19" s="65"/>
      <c r="U19" s="113"/>
      <c r="V19" s="113"/>
    </row>
    <row r="20" spans="2:23" s="113" customFormat="1" ht="17.100000000000001" customHeight="1" outlineLevel="1" x14ac:dyDescent="0.2">
      <c r="B20" s="153" t="s">
        <v>13</v>
      </c>
      <c r="C20" s="398" t="s">
        <v>14</v>
      </c>
      <c r="D20" s="400"/>
      <c r="E20" s="400"/>
      <c r="F20" s="401"/>
      <c r="G20" s="154">
        <f>'calcul heures'!I12</f>
        <v>78</v>
      </c>
      <c r="H20" s="155">
        <f>IF(G20=0,0,(SUMIF(Enseignements!$G$9:$G$90,Paramétrage!$D$15,Enseignements!U$9:U$90)*$H$14+SUMIF(Enseignements!$G$9:$G$90,Paramétrage!$D$15,Enseignements!V$9:V$90)*$H$15+SUMIF(Enseignements!$G$9:$G$90,Paramétrage!$D$15,Enseignements!W$9:W$90)*$H$16+SUMIF(Enseignements!$G$9:$G$90,Paramétrage!$D$15,Enseignements!X$9:X$90)*$H$17)/G20)</f>
        <v>137</v>
      </c>
      <c r="I20" s="156">
        <f>H20*G20</f>
        <v>10686</v>
      </c>
      <c r="J20" s="162">
        <f>'calcul heures'!G12*H20</f>
        <v>0</v>
      </c>
      <c r="K20" s="157">
        <f>'calcul heures'!H12*H20</f>
        <v>10686</v>
      </c>
      <c r="L20" s="158"/>
      <c r="M20" s="165"/>
      <c r="N20" s="165"/>
      <c r="O20" s="75"/>
      <c r="P20" s="159">
        <f>SUM(L20:O20)</f>
        <v>0</v>
      </c>
      <c r="Q20" s="160"/>
      <c r="R20" s="160"/>
      <c r="S20" s="388"/>
      <c r="T20" s="179"/>
      <c r="V20" s="160"/>
      <c r="W20" s="82"/>
    </row>
    <row r="21" spans="2:23" s="113" customFormat="1" ht="17.100000000000001" customHeight="1" outlineLevel="1" x14ac:dyDescent="0.2">
      <c r="B21" s="153" t="s">
        <v>15</v>
      </c>
      <c r="C21" s="518" t="s">
        <v>16</v>
      </c>
      <c r="D21" s="519"/>
      <c r="E21" s="519"/>
      <c r="F21" s="520"/>
      <c r="G21" s="154">
        <f>'calcul heures'!I13</f>
        <v>24</v>
      </c>
      <c r="H21" s="155">
        <f>IF(G21=0,0,(SUMIF(Enseignements!$G$9:$G$90,Paramétrage!$D$18,Enseignements!U$9:U$90)*$H$14+SUMIF(Enseignements!$G$9:$G$90,Paramétrage!$D$18,Enseignements!V$9:V$90)*$H$15+SUMIF(Enseignements!$G$9:$G$90,Paramétrage!$D$18,Enseignements!W$9:W$90)*$H$16+SUMIF(Enseignements!$G$9:$G$90,Paramétrage!$D$18,Enseignements!X$9:X$90)*$H$17)/G21)</f>
        <v>137</v>
      </c>
      <c r="I21" s="156">
        <f>H21*G21</f>
        <v>3288</v>
      </c>
      <c r="J21" s="162">
        <f>'calcul heures'!G13*H21</f>
        <v>0</v>
      </c>
      <c r="K21" s="157">
        <f>'calcul heures'!H13*H21</f>
        <v>3288</v>
      </c>
      <c r="L21" s="75"/>
      <c r="M21" s="75"/>
      <c r="N21" s="75"/>
      <c r="O21" s="75"/>
      <c r="P21" s="163">
        <f>SUM(L21:O21)</f>
        <v>0</v>
      </c>
      <c r="Q21" s="160"/>
      <c r="R21" s="160"/>
      <c r="S21" s="388"/>
      <c r="T21" s="160"/>
      <c r="V21" s="160"/>
      <c r="W21" s="82"/>
    </row>
    <row r="22" spans="2:23" s="113" customFormat="1" ht="17.100000000000001" customHeight="1" outlineLevel="1" x14ac:dyDescent="0.2">
      <c r="B22" s="153" t="s">
        <v>17</v>
      </c>
      <c r="C22" s="518" t="s">
        <v>18</v>
      </c>
      <c r="D22" s="519"/>
      <c r="E22" s="519"/>
      <c r="F22" s="520"/>
      <c r="G22" s="154">
        <f>'calcul heures'!I14</f>
        <v>0</v>
      </c>
      <c r="H22" s="155">
        <f>IF(G22=0,0,(SUMIF(Enseignements!$G$9:$G$90,Paramétrage!$D$9,Enseignements!U$9:U$90)*$H$14+SUMIF(Enseignements!$G$9:$G$90,Paramétrage!$D$9,Enseignements!V$9:V$90)*$H$15+SUMIF(Enseignements!$G$9:$G$90,Paramétrage!$D$9,Enseignements!W$9:W$90)*$H$16+SUMIF(Enseignements!$G$9:$G$90,Paramétrage!$D$9,Enseignements!X$9:X$90)*$H$17)/G22)</f>
        <v>0</v>
      </c>
      <c r="I22" s="156">
        <f>H22*G22</f>
        <v>0</v>
      </c>
      <c r="J22" s="162">
        <f>'calcul heures'!G14*H22</f>
        <v>0</v>
      </c>
      <c r="K22" s="157">
        <f>'calcul heures'!H14*H22</f>
        <v>0</v>
      </c>
      <c r="L22" s="158"/>
      <c r="M22" s="75"/>
      <c r="N22" s="75"/>
      <c r="O22" s="75"/>
      <c r="P22" s="163">
        <f>SUM(L22:O22)</f>
        <v>0</v>
      </c>
      <c r="Q22" s="160"/>
      <c r="R22" s="160"/>
      <c r="S22" s="388"/>
      <c r="T22" s="160"/>
      <c r="V22" s="160"/>
      <c r="W22" s="82"/>
    </row>
    <row r="23" spans="2:23" s="113" customFormat="1" ht="17.100000000000001" customHeight="1" outlineLevel="1" x14ac:dyDescent="0.2">
      <c r="B23" s="153" t="s">
        <v>19</v>
      </c>
      <c r="C23" s="518" t="s">
        <v>20</v>
      </c>
      <c r="D23" s="519"/>
      <c r="E23" s="519"/>
      <c r="F23" s="520"/>
      <c r="G23" s="154">
        <f>'calcul heures'!I15</f>
        <v>0</v>
      </c>
      <c r="H23" s="155">
        <f>IF(G23=0,0,(SUMIF(Enseignements!$G$9:$G$90,Paramétrage!$D$12,Enseignements!U$9:U$90)*$H$14+SUMIF(Enseignements!$G$9:$G$90,Paramétrage!$D$12,Enseignements!V$9:V$90)*$H$15+SUMIF(Enseignements!$G$9:$G$90,Paramétrage!$D$12,Enseignements!W$9:W$90)*$H$16+SUMIF(Enseignements!$G$9:$G$90,Paramétrage!$D$12,Enseignements!X$9:X$90)*$H$17)/G23)</f>
        <v>0</v>
      </c>
      <c r="I23" s="156">
        <f>H23*G23</f>
        <v>0</v>
      </c>
      <c r="J23" s="162">
        <f>'calcul heures'!G15*H23</f>
        <v>0</v>
      </c>
      <c r="K23" s="157">
        <f>'calcul heures'!H15*H23</f>
        <v>0</v>
      </c>
      <c r="L23" s="158"/>
      <c r="M23" s="165"/>
      <c r="N23" s="165"/>
      <c r="O23" s="75"/>
      <c r="P23" s="163">
        <f>SUM(L23:O23)</f>
        <v>0</v>
      </c>
      <c r="Q23" s="160"/>
      <c r="R23" s="160"/>
      <c r="S23" s="388"/>
      <c r="T23" s="160"/>
      <c r="V23" s="160"/>
      <c r="W23" s="82"/>
    </row>
    <row r="24" spans="2:23" s="113" customFormat="1" ht="17.100000000000001" customHeight="1" outlineLevel="1" x14ac:dyDescent="0.2">
      <c r="B24" s="153" t="s">
        <v>21</v>
      </c>
      <c r="C24" s="518" t="s">
        <v>22</v>
      </c>
      <c r="D24" s="519"/>
      <c r="E24" s="519"/>
      <c r="F24" s="520"/>
      <c r="G24" s="154">
        <f>'calcul heures'!I16</f>
        <v>0</v>
      </c>
      <c r="H24" s="155">
        <f>IF(G24=0,0,(SUMIF(Enseignements!$G$9:$G$90,Paramétrage!$D$22,Enseignements!U$9:U$90)*$H$14+SUMIF(Enseignements!$G$9:$G$90,Paramétrage!$D$22,Enseignements!V$9:V$90)*$H$15+SUMIF(Enseignements!$G$9:$G$90,Paramétrage!$D$22,Enseignements!W$9:W$90)*$H$16+SUMIF(Enseignements!$G$9:$G$90,Paramétrage!$D$22,Enseignements!X$9:X$90)*$H$17)/G24)+IF(G24=0,0,(SUMIF(Enseignements!$G$9:$G$90,Paramétrage!$D$25,Enseignements!U$9:U$90)*$H$14+SUMIF(Enseignements!$G$9:$G$90,Paramétrage!$D$25,Enseignements!V$9:V$90)*$H$15+SUMIF(Enseignements!$G$9:$G$90,Paramétrage!$D$25,Enseignements!W$9:W$90)*$H$16+SUMIF(Enseignements!$G$9:$G$90,Paramétrage!$D$25,Enseignements!X$9:X$90)*$H$17)/G24)</f>
        <v>0</v>
      </c>
      <c r="I24" s="156">
        <f>H24*G24</f>
        <v>0</v>
      </c>
      <c r="J24" s="162">
        <f>'calcul heures'!G16*H24</f>
        <v>0</v>
      </c>
      <c r="K24" s="157">
        <f>'calcul heures'!H16*H24</f>
        <v>0</v>
      </c>
      <c r="L24" s="75"/>
      <c r="M24" s="75"/>
      <c r="N24" s="75"/>
      <c r="O24" s="75"/>
      <c r="P24" s="163">
        <f>SUM(L24:O24)</f>
        <v>0</v>
      </c>
      <c r="Q24" s="160">
        <f>IF($I24=0,0,$G24*$J24/$I24)</f>
        <v>0</v>
      </c>
      <c r="R24" s="160">
        <f>SUMIF(Enseignements!$G$9:$G$90,Paramétrage!D19,Enseignements!W$9:W$90)</f>
        <v>0</v>
      </c>
      <c r="S24" s="388">
        <f>R24*H24</f>
        <v>0</v>
      </c>
      <c r="T24" s="160"/>
      <c r="V24" s="160"/>
      <c r="W24" s="82"/>
    </row>
    <row r="25" spans="2:23" s="113" customFormat="1" ht="21.6" customHeight="1" outlineLevel="1" thickBot="1" x14ac:dyDescent="0.25">
      <c r="B25" s="524" t="s">
        <v>121</v>
      </c>
      <c r="C25" s="525"/>
      <c r="D25" s="525"/>
      <c r="E25" s="525"/>
      <c r="F25" s="526"/>
      <c r="G25" s="166">
        <f>SUM(G20:G24)</f>
        <v>102</v>
      </c>
      <c r="H25" s="167">
        <f>IF(G25=0,0,I25/G25)</f>
        <v>137</v>
      </c>
      <c r="I25" s="167">
        <f>SUM(I20:I24)</f>
        <v>13974</v>
      </c>
      <c r="J25" s="167">
        <f t="shared" ref="J25:K25" si="3">SUM(J20:J24)</f>
        <v>0</v>
      </c>
      <c r="K25" s="170">
        <f t="shared" si="3"/>
        <v>13974</v>
      </c>
      <c r="L25" s="173">
        <f>SUM(L20:L24)</f>
        <v>0</v>
      </c>
      <c r="M25" s="174">
        <f>SUM(M20:M24)</f>
        <v>0</v>
      </c>
      <c r="N25" s="175">
        <f t="shared" ref="N25:O25" si="4">SUM(N20:N24)</f>
        <v>0</v>
      </c>
      <c r="O25" s="168">
        <f t="shared" si="4"/>
        <v>0</v>
      </c>
      <c r="P25" s="170">
        <f t="shared" ref="P25" si="5">SUM(P20:P23)</f>
        <v>0</v>
      </c>
      <c r="Q25" s="141">
        <f>IF($K$70=0,0,K25/$K$70)</f>
        <v>8.6526315789473687E-2</v>
      </c>
      <c r="R25" s="142" t="s">
        <v>118</v>
      </c>
      <c r="S25" s="69"/>
      <c r="T25" s="112"/>
    </row>
    <row r="26" spans="2:23" s="113" customFormat="1" ht="17.100000000000001" customHeight="1" outlineLevel="1" x14ac:dyDescent="0.2">
      <c r="B26" s="143" t="s">
        <v>122</v>
      </c>
      <c r="C26" s="144" t="s">
        <v>123</v>
      </c>
      <c r="D26" s="145"/>
      <c r="E26" s="145"/>
      <c r="F26" s="146"/>
      <c r="G26" s="147"/>
      <c r="H26" s="148"/>
      <c r="I26" s="147"/>
      <c r="J26" s="147"/>
      <c r="K26" s="149"/>
      <c r="L26" s="176"/>
      <c r="M26" s="177"/>
      <c r="N26" s="177"/>
      <c r="O26" s="177"/>
      <c r="P26" s="178"/>
      <c r="Q26" s="151"/>
      <c r="R26" s="179">
        <f t="shared" ref="R26:U26" si="6">IF($I26=0,0,IF($P26=0,0,$G26*$J26/$I26*L26/$P26))</f>
        <v>0</v>
      </c>
      <c r="S26" s="179">
        <f t="shared" si="6"/>
        <v>0</v>
      </c>
      <c r="T26" s="179">
        <f t="shared" si="6"/>
        <v>0</v>
      </c>
      <c r="U26" s="180">
        <f t="shared" si="6"/>
        <v>0</v>
      </c>
      <c r="V26" s="181"/>
    </row>
    <row r="27" spans="2:23" s="113" customFormat="1" ht="17.100000000000001" customHeight="1" outlineLevel="1" x14ac:dyDescent="0.2">
      <c r="B27" s="153" t="s">
        <v>124</v>
      </c>
      <c r="C27" s="518" t="s">
        <v>125</v>
      </c>
      <c r="D27" s="519"/>
      <c r="E27" s="519"/>
      <c r="F27" s="520"/>
      <c r="G27" s="75">
        <v>25</v>
      </c>
      <c r="H27" s="155">
        <f>+H14</f>
        <v>218</v>
      </c>
      <c r="I27" s="182">
        <f>H27*G27</f>
        <v>5450</v>
      </c>
      <c r="J27" s="156">
        <f t="shared" ref="J27:J29" si="7">I27-K27</f>
        <v>0</v>
      </c>
      <c r="K27" s="157">
        <f t="shared" ref="K27:K29" si="8">IF($E$6=0,0,I27/$E$6*$E$7)</f>
        <v>5450</v>
      </c>
      <c r="L27" s="183"/>
      <c r="M27" s="75"/>
      <c r="N27" s="75"/>
      <c r="O27" s="75"/>
      <c r="P27" s="163">
        <f>SUM(L27:O27)</f>
        <v>0</v>
      </c>
      <c r="Q27" s="160"/>
      <c r="R27" s="160"/>
      <c r="S27" s="160"/>
      <c r="T27" s="160"/>
      <c r="U27" s="160"/>
      <c r="V27" s="161"/>
      <c r="W27" s="184"/>
    </row>
    <row r="28" spans="2:23" s="113" customFormat="1" ht="17.100000000000001" customHeight="1" outlineLevel="1" x14ac:dyDescent="0.2">
      <c r="B28" s="153" t="s">
        <v>126</v>
      </c>
      <c r="C28" s="518" t="s">
        <v>127</v>
      </c>
      <c r="D28" s="519"/>
      <c r="E28" s="519"/>
      <c r="F28" s="520"/>
      <c r="G28" s="75">
        <v>1</v>
      </c>
      <c r="H28" s="155">
        <f>$H$18</f>
        <v>123.77551020408163</v>
      </c>
      <c r="I28" s="182">
        <f>H28*G28</f>
        <v>123.77551020408163</v>
      </c>
      <c r="J28" s="156">
        <f t="shared" si="7"/>
        <v>0</v>
      </c>
      <c r="K28" s="157">
        <f>I28</f>
        <v>123.77551020408163</v>
      </c>
      <c r="L28" s="183"/>
      <c r="M28" s="158"/>
      <c r="N28" s="75"/>
      <c r="O28" s="75"/>
      <c r="P28" s="163">
        <f>SUM(L28:O28)</f>
        <v>0</v>
      </c>
      <c r="Q28" s="160"/>
      <c r="R28" s="160"/>
      <c r="S28" s="160"/>
      <c r="T28" s="160"/>
      <c r="U28" s="160"/>
      <c r="V28" s="161"/>
      <c r="W28" s="184"/>
    </row>
    <row r="29" spans="2:23" s="113" customFormat="1" ht="17.100000000000001" customHeight="1" outlineLevel="1" x14ac:dyDescent="0.2">
      <c r="B29" s="153" t="s">
        <v>128</v>
      </c>
      <c r="C29" s="399" t="s">
        <v>48</v>
      </c>
      <c r="D29" s="400"/>
      <c r="E29" s="400"/>
      <c r="F29" s="401"/>
      <c r="G29" s="185"/>
      <c r="H29" s="155">
        <f>$H$18</f>
        <v>123.77551020408163</v>
      </c>
      <c r="I29" s="186">
        <f>H29*G29</f>
        <v>0</v>
      </c>
      <c r="J29" s="156">
        <f t="shared" si="7"/>
        <v>0</v>
      </c>
      <c r="K29" s="157">
        <f t="shared" si="8"/>
        <v>0</v>
      </c>
      <c r="L29" s="187"/>
      <c r="M29" s="75"/>
      <c r="N29" s="75"/>
      <c r="O29" s="75"/>
      <c r="P29" s="163">
        <f>SUM(L29:O29)</f>
        <v>0</v>
      </c>
      <c r="Q29" s="160"/>
      <c r="R29" s="160"/>
      <c r="S29" s="160"/>
      <c r="T29" s="160"/>
      <c r="U29" s="160"/>
      <c r="V29" s="161"/>
      <c r="W29" s="184"/>
    </row>
    <row r="30" spans="2:23" s="113" customFormat="1" ht="21" customHeight="1" outlineLevel="1" thickBot="1" x14ac:dyDescent="0.25">
      <c r="B30" s="524" t="s">
        <v>129</v>
      </c>
      <c r="C30" s="525"/>
      <c r="D30" s="525"/>
      <c r="E30" s="525"/>
      <c r="F30" s="526"/>
      <c r="G30" s="166">
        <f>SUM(G27:G29)</f>
        <v>26</v>
      </c>
      <c r="H30" s="167">
        <f>IF(G30=0,0,I30/G30)</f>
        <v>214.37598116169545</v>
      </c>
      <c r="I30" s="167">
        <f>SUM(I27:I29)</f>
        <v>5573.7755102040819</v>
      </c>
      <c r="J30" s="167">
        <f>SUM(J27:J29)</f>
        <v>0</v>
      </c>
      <c r="K30" s="370">
        <f>SUM(K27:K29)</f>
        <v>5573.7755102040819</v>
      </c>
      <c r="L30" s="171">
        <f t="shared" ref="L30:M30" si="9">SUM(L27:L29)</f>
        <v>0</v>
      </c>
      <c r="M30" s="168">
        <f t="shared" si="9"/>
        <v>0</v>
      </c>
      <c r="N30" s="168">
        <f>SUM(N27:N29)</f>
        <v>0</v>
      </c>
      <c r="O30" s="168">
        <f>SUM(O27:O29)</f>
        <v>0</v>
      </c>
      <c r="P30" s="170">
        <f t="shared" ref="P30" si="10">SUM(P26:P29)</f>
        <v>0</v>
      </c>
      <c r="Q30" s="141">
        <f>IF($K$70=0,0,K30/$K$70)</f>
        <v>3.4512541858848805E-2</v>
      </c>
      <c r="R30" s="142" t="s">
        <v>118</v>
      </c>
      <c r="S30" s="69"/>
      <c r="T30" s="112"/>
      <c r="U30" s="66"/>
    </row>
    <row r="31" spans="2:23" s="113" customFormat="1" ht="21" hidden="1" customHeight="1" outlineLevel="1" x14ac:dyDescent="0.2">
      <c r="B31" s="188"/>
      <c r="C31" s="189"/>
      <c r="D31" s="190"/>
      <c r="E31" s="191"/>
      <c r="F31" s="191"/>
      <c r="G31" s="191"/>
      <c r="H31" s="192" t="s">
        <v>130</v>
      </c>
      <c r="I31" s="193">
        <f>+G18+G25+G30</f>
        <v>520</v>
      </c>
      <c r="J31" s="193">
        <f>SUM(Q14:Q17)+SUM(Q20:Q24)+SUM(Q27:Q29)</f>
        <v>0</v>
      </c>
      <c r="K31" s="194">
        <f>I31-J31</f>
        <v>520</v>
      </c>
      <c r="L31" s="195"/>
      <c r="M31" s="195"/>
      <c r="N31" s="195"/>
      <c r="O31" s="195"/>
      <c r="P31" s="195"/>
      <c r="Q31" s="196"/>
      <c r="R31" s="196"/>
      <c r="S31" s="197"/>
      <c r="T31" s="198"/>
      <c r="U31" s="112"/>
      <c r="V31" s="199"/>
    </row>
    <row r="32" spans="2:23" s="113" customFormat="1" ht="21" customHeight="1" outlineLevel="1" thickBot="1" x14ac:dyDescent="0.25">
      <c r="B32" s="200"/>
      <c r="C32" s="201"/>
      <c r="D32" s="202"/>
      <c r="E32" s="203"/>
      <c r="F32" s="203"/>
      <c r="G32" s="203"/>
      <c r="H32" s="204" t="s">
        <v>131</v>
      </c>
      <c r="I32" s="205">
        <f>IF($E$6=0,0,(I30+I18+I25)/$E$6)</f>
        <v>3093.9897959183672</v>
      </c>
      <c r="J32" s="206">
        <f>IF($E$6-$E$7=0,0,(J30+J18+J25)/($E$6-$E$7))</f>
        <v>0</v>
      </c>
      <c r="K32" s="207">
        <f>IF($E$7=0,0,(K30+K18+K25)/$E$7)</f>
        <v>3093.9897959183672</v>
      </c>
      <c r="L32" s="195"/>
      <c r="M32" s="195"/>
      <c r="N32" s="195"/>
      <c r="O32" s="195"/>
      <c r="P32" s="195"/>
      <c r="Q32" s="196"/>
      <c r="R32" s="196"/>
      <c r="S32" s="197"/>
      <c r="T32" s="198"/>
      <c r="U32" s="112"/>
      <c r="V32" s="199"/>
    </row>
    <row r="33" spans="2:22" s="69" customFormat="1" ht="22.35" customHeight="1" thickBot="1" x14ac:dyDescent="0.25">
      <c r="B33" s="208" t="s">
        <v>132</v>
      </c>
      <c r="C33" s="209"/>
      <c r="D33" s="210"/>
      <c r="E33" s="210"/>
      <c r="F33" s="210"/>
      <c r="G33" s="210"/>
      <c r="H33" s="211"/>
      <c r="I33" s="212">
        <f t="shared" ref="I33:P33" si="11">SUM(I34:I42)</f>
        <v>0</v>
      </c>
      <c r="J33" s="213">
        <f t="shared" si="11"/>
        <v>0</v>
      </c>
      <c r="K33" s="214">
        <f t="shared" si="11"/>
        <v>0</v>
      </c>
      <c r="L33" s="140">
        <f t="shared" si="11"/>
        <v>0</v>
      </c>
      <c r="M33" s="136">
        <f t="shared" si="11"/>
        <v>0</v>
      </c>
      <c r="N33" s="137">
        <f t="shared" si="11"/>
        <v>0</v>
      </c>
      <c r="O33" s="136">
        <f t="shared" si="11"/>
        <v>0</v>
      </c>
      <c r="P33" s="215">
        <f t="shared" si="11"/>
        <v>0</v>
      </c>
      <c r="Q33" s="141">
        <f>IF($K$70=0,0,K33/$K$70)</f>
        <v>0</v>
      </c>
      <c r="R33" s="142" t="s">
        <v>118</v>
      </c>
      <c r="U33" s="113"/>
      <c r="V33" s="113"/>
    </row>
    <row r="34" spans="2:22" s="113" customFormat="1" ht="17.100000000000001" customHeight="1" outlineLevel="1" x14ac:dyDescent="0.2">
      <c r="B34" s="216" t="s">
        <v>133</v>
      </c>
      <c r="C34" s="217" t="s">
        <v>134</v>
      </c>
      <c r="D34" s="218"/>
      <c r="E34" s="218"/>
      <c r="F34" s="218"/>
      <c r="G34" s="218"/>
      <c r="H34" s="218"/>
      <c r="I34" s="219"/>
      <c r="J34" s="220">
        <f>I34-K34</f>
        <v>0</v>
      </c>
      <c r="K34" s="221">
        <f>IF($E$6=0,0,I34/$E$6*$E$7)</f>
        <v>0</v>
      </c>
      <c r="L34" s="222"/>
      <c r="M34" s="223"/>
      <c r="N34" s="224"/>
      <c r="O34" s="223"/>
      <c r="P34" s="225">
        <f>SUM(L34:O34)</f>
        <v>0</v>
      </c>
      <c r="Q34" s="226"/>
      <c r="R34" s="227"/>
      <c r="S34" s="69"/>
    </row>
    <row r="35" spans="2:22" s="113" customFormat="1" ht="17.100000000000001" customHeight="1" outlineLevel="1" x14ac:dyDescent="0.2">
      <c r="B35" s="89" t="s">
        <v>135</v>
      </c>
      <c r="C35" s="228" t="s">
        <v>136</v>
      </c>
      <c r="D35" s="229"/>
      <c r="E35" s="229"/>
      <c r="F35" s="229"/>
      <c r="G35" s="229"/>
      <c r="H35" s="229"/>
      <c r="I35" s="230"/>
      <c r="J35" s="155">
        <f>I35-K35</f>
        <v>0</v>
      </c>
      <c r="K35" s="231">
        <f t="shared" ref="K35:K42" si="12">IF($E$6=0,0,I35/$E$6*$E$7)</f>
        <v>0</v>
      </c>
      <c r="L35" s="183"/>
      <c r="M35" s="158"/>
      <c r="N35" s="232"/>
      <c r="O35" s="158"/>
      <c r="P35" s="163">
        <f>SUM(L35:O35)</f>
        <v>0</v>
      </c>
      <c r="Q35" s="226"/>
      <c r="R35" s="227"/>
      <c r="S35" s="69"/>
    </row>
    <row r="36" spans="2:22" s="113" customFormat="1" ht="17.100000000000001" customHeight="1" outlineLevel="1" x14ac:dyDescent="0.2">
      <c r="B36" s="89" t="s">
        <v>137</v>
      </c>
      <c r="C36" s="228" t="s">
        <v>138</v>
      </c>
      <c r="D36" s="229"/>
      <c r="E36" s="229"/>
      <c r="F36" s="229"/>
      <c r="G36" s="229"/>
      <c r="H36" s="229"/>
      <c r="I36" s="230"/>
      <c r="J36" s="155">
        <f>I36-K36</f>
        <v>0</v>
      </c>
      <c r="K36" s="231">
        <f t="shared" si="12"/>
        <v>0</v>
      </c>
      <c r="L36" s="183"/>
      <c r="M36" s="158"/>
      <c r="N36" s="232"/>
      <c r="O36" s="158"/>
      <c r="P36" s="163">
        <f t="shared" ref="P36:P42" si="13">SUM(L36:O36)</f>
        <v>0</v>
      </c>
      <c r="Q36" s="226"/>
      <c r="R36" s="227"/>
      <c r="S36" s="69"/>
    </row>
    <row r="37" spans="2:22" s="113" customFormat="1" ht="17.100000000000001" customHeight="1" outlineLevel="1" x14ac:dyDescent="0.2">
      <c r="B37" s="89" t="s">
        <v>139</v>
      </c>
      <c r="C37" s="228" t="s">
        <v>140</v>
      </c>
      <c r="D37" s="229"/>
      <c r="E37" s="229"/>
      <c r="F37" s="229"/>
      <c r="G37" s="229"/>
      <c r="H37" s="229"/>
      <c r="I37" s="230"/>
      <c r="J37" s="155">
        <f>I37-K37</f>
        <v>0</v>
      </c>
      <c r="K37" s="231">
        <f t="shared" si="12"/>
        <v>0</v>
      </c>
      <c r="L37" s="183"/>
      <c r="M37" s="158"/>
      <c r="N37" s="232"/>
      <c r="O37" s="158"/>
      <c r="P37" s="163">
        <f t="shared" si="13"/>
        <v>0</v>
      </c>
      <c r="Q37" s="226"/>
      <c r="R37" s="227"/>
      <c r="S37" s="69"/>
    </row>
    <row r="38" spans="2:22" s="113" customFormat="1" ht="17.100000000000001" customHeight="1" outlineLevel="1" x14ac:dyDescent="0.2">
      <c r="B38" s="89" t="s">
        <v>141</v>
      </c>
      <c r="C38" s="228" t="s">
        <v>142</v>
      </c>
      <c r="D38" s="229"/>
      <c r="E38" s="229"/>
      <c r="F38" s="229"/>
      <c r="G38" s="229"/>
      <c r="H38" s="229"/>
      <c r="I38" s="230"/>
      <c r="J38" s="155">
        <f>I38-K38</f>
        <v>0</v>
      </c>
      <c r="K38" s="231">
        <f t="shared" si="12"/>
        <v>0</v>
      </c>
      <c r="L38" s="183"/>
      <c r="M38" s="158"/>
      <c r="N38" s="232"/>
      <c r="O38" s="158"/>
      <c r="P38" s="163">
        <f>SUM(L38:O38)</f>
        <v>0</v>
      </c>
      <c r="Q38" s="226"/>
      <c r="R38" s="227"/>
      <c r="S38" s="69"/>
    </row>
    <row r="39" spans="2:22" s="113" customFormat="1" ht="17.100000000000001" customHeight="1" outlineLevel="1" x14ac:dyDescent="0.2">
      <c r="B39" s="89" t="s">
        <v>143</v>
      </c>
      <c r="C39" s="228" t="s">
        <v>144</v>
      </c>
      <c r="D39" s="229"/>
      <c r="E39" s="229"/>
      <c r="F39" s="229"/>
      <c r="G39" s="229"/>
      <c r="H39" s="229"/>
      <c r="I39" s="230"/>
      <c r="J39" s="155">
        <f t="shared" ref="J39:J42" si="14">I39-K39</f>
        <v>0</v>
      </c>
      <c r="K39" s="231">
        <v>0</v>
      </c>
      <c r="L39" s="183"/>
      <c r="M39" s="158"/>
      <c r="N39" s="232"/>
      <c r="O39" s="158"/>
      <c r="P39" s="163">
        <f>SUM(L39:O39)</f>
        <v>0</v>
      </c>
      <c r="Q39" s="226"/>
      <c r="R39" s="227"/>
      <c r="S39" s="69"/>
    </row>
    <row r="40" spans="2:22" s="113" customFormat="1" ht="17.100000000000001" customHeight="1" outlineLevel="1" x14ac:dyDescent="0.2">
      <c r="B40" s="89" t="s">
        <v>145</v>
      </c>
      <c r="C40" s="228" t="s">
        <v>146</v>
      </c>
      <c r="D40" s="229"/>
      <c r="E40" s="229"/>
      <c r="F40" s="229"/>
      <c r="G40" s="229"/>
      <c r="H40" s="229"/>
      <c r="I40" s="230"/>
      <c r="J40" s="155">
        <f t="shared" si="14"/>
        <v>0</v>
      </c>
      <c r="K40" s="231">
        <f>I40</f>
        <v>0</v>
      </c>
      <c r="L40" s="183"/>
      <c r="M40" s="158"/>
      <c r="N40" s="232"/>
      <c r="O40" s="158"/>
      <c r="P40" s="163">
        <f t="shared" si="13"/>
        <v>0</v>
      </c>
      <c r="Q40" s="226"/>
      <c r="R40" s="227"/>
      <c r="S40" s="69"/>
    </row>
    <row r="41" spans="2:22" s="113" customFormat="1" ht="17.100000000000001" customHeight="1" outlineLevel="1" x14ac:dyDescent="0.2">
      <c r="B41" s="89" t="s">
        <v>147</v>
      </c>
      <c r="C41" s="228" t="s">
        <v>148</v>
      </c>
      <c r="D41" s="229"/>
      <c r="E41" s="229"/>
      <c r="F41" s="229"/>
      <c r="G41" s="229"/>
      <c r="H41" s="229"/>
      <c r="I41" s="230"/>
      <c r="J41" s="155">
        <f t="shared" si="14"/>
        <v>0</v>
      </c>
      <c r="K41" s="231">
        <f t="shared" si="12"/>
        <v>0</v>
      </c>
      <c r="L41" s="183"/>
      <c r="M41" s="158"/>
      <c r="N41" s="232"/>
      <c r="O41" s="158"/>
      <c r="P41" s="163">
        <f t="shared" si="13"/>
        <v>0</v>
      </c>
      <c r="Q41" s="226"/>
      <c r="R41" s="227"/>
      <c r="S41" s="69"/>
    </row>
    <row r="42" spans="2:22" s="113" customFormat="1" ht="17.100000000000001" customHeight="1" outlineLevel="1" thickBot="1" x14ac:dyDescent="0.25">
      <c r="B42" s="233" t="s">
        <v>149</v>
      </c>
      <c r="C42" s="234" t="s">
        <v>150</v>
      </c>
      <c r="D42" s="235"/>
      <c r="E42" s="235"/>
      <c r="F42" s="235"/>
      <c r="G42" s="235"/>
      <c r="H42" s="236"/>
      <c r="I42" s="237"/>
      <c r="J42" s="238">
        <f t="shared" si="14"/>
        <v>0</v>
      </c>
      <c r="K42" s="239">
        <f t="shared" si="12"/>
        <v>0</v>
      </c>
      <c r="L42" s="240"/>
      <c r="M42" s="241"/>
      <c r="N42" s="242"/>
      <c r="O42" s="241"/>
      <c r="P42" s="243">
        <f t="shared" si="13"/>
        <v>0</v>
      </c>
      <c r="Q42" s="226"/>
      <c r="R42" s="227"/>
      <c r="S42" s="69"/>
    </row>
    <row r="43" spans="2:22" s="113" customFormat="1" ht="24.6" customHeight="1" outlineLevel="1" thickBot="1" x14ac:dyDescent="0.25">
      <c r="B43" s="244"/>
      <c r="C43" s="245"/>
      <c r="E43" s="246"/>
      <c r="F43" s="246"/>
      <c r="G43" s="246"/>
      <c r="H43" s="70" t="s">
        <v>151</v>
      </c>
      <c r="I43" s="247">
        <f>IF(E6=0,0,I33/$E$6)</f>
        <v>0</v>
      </c>
      <c r="J43" s="247">
        <f>IF(E6-E7=0,0,J33/($E$6-$E$7))</f>
        <v>0</v>
      </c>
      <c r="K43" s="207">
        <f>IF($E$7=0,0,K33/$E$7)</f>
        <v>0</v>
      </c>
      <c r="L43" s="195"/>
      <c r="M43" s="195"/>
      <c r="N43" s="195"/>
      <c r="O43" s="195"/>
      <c r="P43" s="195"/>
      <c r="Q43" s="226"/>
      <c r="R43" s="227"/>
      <c r="S43" s="69"/>
      <c r="U43" s="69"/>
      <c r="V43" s="69"/>
    </row>
    <row r="44" spans="2:22" s="69" customFormat="1" ht="21.6" customHeight="1" thickBot="1" x14ac:dyDescent="0.25">
      <c r="B44" s="132" t="s">
        <v>152</v>
      </c>
      <c r="C44" s="133"/>
      <c r="D44" s="134"/>
      <c r="E44" s="134"/>
      <c r="F44" s="134"/>
      <c r="G44" s="134"/>
      <c r="H44" s="248"/>
      <c r="I44" s="249">
        <f t="shared" ref="I44:P44" si="15">I33+I30+I18+I25</f>
        <v>68067.775510204083</v>
      </c>
      <c r="J44" s="249">
        <f t="shared" si="15"/>
        <v>0</v>
      </c>
      <c r="K44" s="250">
        <f t="shared" si="15"/>
        <v>68067.775510204083</v>
      </c>
      <c r="L44" s="249">
        <f t="shared" si="15"/>
        <v>0</v>
      </c>
      <c r="M44" s="249">
        <f t="shared" si="15"/>
        <v>0</v>
      </c>
      <c r="N44" s="249">
        <f t="shared" si="15"/>
        <v>0</v>
      </c>
      <c r="O44" s="249">
        <f t="shared" si="15"/>
        <v>0</v>
      </c>
      <c r="P44" s="251">
        <f t="shared" si="15"/>
        <v>0</v>
      </c>
      <c r="Q44" s="252">
        <f>IF($K$70=0,0,K44/$K$70)</f>
        <v>0.42147229418083021</v>
      </c>
      <c r="R44" s="142" t="s">
        <v>118</v>
      </c>
      <c r="S44" s="253"/>
      <c r="U44" s="66"/>
      <c r="V44" s="113"/>
    </row>
    <row r="45" spans="2:22" s="113" customFormat="1" ht="21" customHeight="1" thickBot="1" x14ac:dyDescent="0.25">
      <c r="B45" s="254"/>
      <c r="C45" s="255"/>
      <c r="D45" s="255"/>
      <c r="E45" s="256"/>
      <c r="F45" s="256"/>
      <c r="G45" s="256"/>
      <c r="H45" s="257" t="s">
        <v>153</v>
      </c>
      <c r="I45" s="205">
        <f>IF(E6=0,0,I44/E6)</f>
        <v>3093.9897959183672</v>
      </c>
      <c r="J45" s="247">
        <f>IF((E6-E7)=0,0,J44/(E6-E7))</f>
        <v>0</v>
      </c>
      <c r="K45" s="258">
        <f>IF(E7=0,0,K44/E7)</f>
        <v>3093.9897959183672</v>
      </c>
      <c r="L45" s="195"/>
      <c r="M45" s="195"/>
      <c r="N45" s="195"/>
      <c r="O45" s="195"/>
      <c r="P45" s="195"/>
      <c r="Q45" s="259"/>
      <c r="R45" s="227"/>
      <c r="S45" s="69"/>
      <c r="T45" s="112"/>
      <c r="U45" s="66"/>
    </row>
    <row r="46" spans="2:22" s="113" customFormat="1" ht="12" customHeight="1" thickBot="1" x14ac:dyDescent="0.25">
      <c r="B46" s="244"/>
      <c r="E46" s="246"/>
      <c r="F46" s="246"/>
      <c r="G46" s="246"/>
      <c r="H46" s="70"/>
      <c r="I46" s="205"/>
      <c r="J46" s="205"/>
      <c r="K46" s="260"/>
      <c r="L46" s="195"/>
      <c r="M46" s="195"/>
      <c r="N46" s="195"/>
      <c r="O46" s="195"/>
      <c r="P46" s="195"/>
      <c r="Q46" s="259"/>
      <c r="R46" s="227"/>
      <c r="S46" s="69"/>
      <c r="T46" s="112"/>
      <c r="U46" s="65"/>
      <c r="V46" s="65"/>
    </row>
    <row r="47" spans="2:22" s="65" customFormat="1" ht="51.75" thickBot="1" x14ac:dyDescent="0.25">
      <c r="B47" s="261" t="s">
        <v>154</v>
      </c>
      <c r="C47" s="262" t="s">
        <v>155</v>
      </c>
      <c r="D47" s="263"/>
      <c r="E47" s="263"/>
      <c r="F47" s="263"/>
      <c r="G47" s="263"/>
      <c r="H47" s="124" t="s">
        <v>156</v>
      </c>
      <c r="I47" s="123" t="s">
        <v>110</v>
      </c>
      <c r="J47" s="124" t="s">
        <v>111</v>
      </c>
      <c r="K47" s="125" t="s">
        <v>157</v>
      </c>
      <c r="L47" s="264" t="str">
        <f>L11</f>
        <v>Lyon 2</v>
      </c>
      <c r="M47" s="124" t="str">
        <f>M11</f>
        <v>Partenaire 1</v>
      </c>
      <c r="N47" s="124" t="str">
        <f>N11</f>
        <v>Partenaire 2</v>
      </c>
      <c r="O47" s="124" t="str">
        <f>O11</f>
        <v>Partenaire 3</v>
      </c>
      <c r="P47" s="129" t="s">
        <v>23</v>
      </c>
      <c r="Q47" s="265"/>
      <c r="R47" s="131"/>
      <c r="U47" s="69"/>
      <c r="V47" s="69"/>
    </row>
    <row r="48" spans="2:22" s="69" customFormat="1" ht="20.100000000000001" customHeight="1" thickBot="1" x14ac:dyDescent="0.25">
      <c r="B48" s="132" t="s">
        <v>158</v>
      </c>
      <c r="C48" s="133"/>
      <c r="D48" s="134"/>
      <c r="E48" s="134"/>
      <c r="F48" s="134"/>
      <c r="G48" s="134"/>
      <c r="H48" s="352"/>
      <c r="I48" s="137">
        <f>SUM(I49:I52)</f>
        <v>26312</v>
      </c>
      <c r="J48" s="138">
        <f>SUM(J49:J52)</f>
        <v>0</v>
      </c>
      <c r="K48" s="139">
        <f>SUM(K49:K52)</f>
        <v>26312</v>
      </c>
      <c r="L48" s="137">
        <f t="shared" ref="L48:P48" si="16">SUM(L49:L52)</f>
        <v>0</v>
      </c>
      <c r="M48" s="136">
        <f t="shared" si="16"/>
        <v>0</v>
      </c>
      <c r="N48" s="136">
        <f t="shared" si="16"/>
        <v>0</v>
      </c>
      <c r="O48" s="137">
        <f t="shared" si="16"/>
        <v>0</v>
      </c>
      <c r="P48" s="139">
        <f t="shared" si="16"/>
        <v>0</v>
      </c>
      <c r="Q48" s="172"/>
      <c r="R48" s="266"/>
    </row>
    <row r="49" spans="1:24" s="69" customFormat="1" ht="17.100000000000001" customHeight="1" outlineLevel="2" x14ac:dyDescent="0.2">
      <c r="B49" s="267" t="s">
        <v>159</v>
      </c>
      <c r="C49" s="268" t="s">
        <v>160</v>
      </c>
      <c r="D49" s="269"/>
      <c r="E49" s="269"/>
      <c r="F49" s="269"/>
      <c r="G49" s="270"/>
      <c r="H49" s="402">
        <f>IF(H4="Formation courte",312/2,312)</f>
        <v>312</v>
      </c>
      <c r="I49" s="155">
        <f>H49*E7</f>
        <v>6864</v>
      </c>
      <c r="J49" s="156">
        <f t="shared" ref="J49:J52" si="17">I49-K49</f>
        <v>0</v>
      </c>
      <c r="K49" s="157">
        <f>I49</f>
        <v>6864</v>
      </c>
      <c r="L49" s="271"/>
      <c r="M49" s="272"/>
      <c r="N49" s="272"/>
      <c r="O49" s="273"/>
      <c r="P49" s="159">
        <f>SUM(L49:O49)</f>
        <v>0</v>
      </c>
      <c r="R49" s="227"/>
      <c r="U49" s="113"/>
      <c r="V49" s="113"/>
    </row>
    <row r="50" spans="1:24" s="113" customFormat="1" ht="18.75" customHeight="1" outlineLevel="2" x14ac:dyDescent="0.2">
      <c r="B50" s="267" t="s">
        <v>161</v>
      </c>
      <c r="C50" s="274" t="s">
        <v>162</v>
      </c>
      <c r="D50" s="275"/>
      <c r="E50" s="275"/>
      <c r="F50" s="275"/>
      <c r="G50" s="276"/>
      <c r="H50" s="155">
        <f>IF(OR(H4="Diplôme Universitaire",H4="Formation courte"),MIN(708,708/500*'Recettes et simulat'!D27),708)</f>
        <v>708</v>
      </c>
      <c r="I50" s="155">
        <f>H50*$E$6</f>
        <v>15576</v>
      </c>
      <c r="J50" s="156">
        <f>I50-K50</f>
        <v>0</v>
      </c>
      <c r="K50" s="157">
        <f>IF($E$6=0,0,I50/$E$6*$E$7)</f>
        <v>15576</v>
      </c>
      <c r="L50" s="271"/>
      <c r="M50" s="272"/>
      <c r="N50" s="272"/>
      <c r="O50" s="75"/>
      <c r="P50" s="163">
        <f>SUM(L50:O50)</f>
        <v>0</v>
      </c>
      <c r="Q50" s="114"/>
      <c r="R50" s="227"/>
      <c r="S50" s="69"/>
    </row>
    <row r="51" spans="1:24" s="113" customFormat="1" ht="18.75" customHeight="1" outlineLevel="2" x14ac:dyDescent="0.2">
      <c r="B51" s="267" t="s">
        <v>163</v>
      </c>
      <c r="C51" s="107" t="s">
        <v>164</v>
      </c>
      <c r="D51" s="277"/>
      <c r="E51" s="277"/>
      <c r="F51" s="277"/>
      <c r="G51" s="277"/>
      <c r="H51" s="155">
        <f>IF(OR(H4="Diplôme Universitaire",H4="Formation courte"),MIN(90,90/500*'Recettes et simulat'!D27),90)</f>
        <v>90</v>
      </c>
      <c r="I51" s="155">
        <f t="shared" ref="I51:I56" si="18">H51*$E$6</f>
        <v>1980</v>
      </c>
      <c r="J51" s="156">
        <f t="shared" si="17"/>
        <v>0</v>
      </c>
      <c r="K51" s="157">
        <f t="shared" ref="K51:K56" si="19">IF($E$6=0,0,I51/$E$6*$E$7)</f>
        <v>1980</v>
      </c>
      <c r="L51" s="271"/>
      <c r="M51" s="272"/>
      <c r="N51" s="272"/>
      <c r="O51" s="75"/>
      <c r="P51" s="163">
        <f>SUM(L51:O51)</f>
        <v>0</v>
      </c>
      <c r="Q51" s="114"/>
      <c r="R51" s="227"/>
      <c r="S51" s="69"/>
    </row>
    <row r="52" spans="1:24" s="113" customFormat="1" ht="18.75" customHeight="1" outlineLevel="2" thickBot="1" x14ac:dyDescent="0.25">
      <c r="B52" s="267" t="s">
        <v>165</v>
      </c>
      <c r="C52" s="107" t="s">
        <v>166</v>
      </c>
      <c r="D52" s="277"/>
      <c r="E52" s="277"/>
      <c r="F52" s="277"/>
      <c r="G52" s="277"/>
      <c r="H52" s="155">
        <f>IF(OR(H4="Diplôme Universitaire",H4="Formation courte"),MIN(86,86/500*'Recettes et simulat'!D27),86)</f>
        <v>86</v>
      </c>
      <c r="I52" s="155">
        <f t="shared" si="18"/>
        <v>1892</v>
      </c>
      <c r="J52" s="156">
        <f t="shared" si="17"/>
        <v>0</v>
      </c>
      <c r="K52" s="157">
        <f t="shared" si="19"/>
        <v>1892</v>
      </c>
      <c r="L52" s="271"/>
      <c r="M52" s="272"/>
      <c r="N52" s="272"/>
      <c r="O52" s="75"/>
      <c r="P52" s="163">
        <f>SUM(L52:O52)</f>
        <v>0</v>
      </c>
      <c r="Q52" s="114"/>
      <c r="R52" s="227"/>
      <c r="S52" s="69"/>
      <c r="U52" s="69"/>
      <c r="V52" s="69"/>
    </row>
    <row r="53" spans="1:24" s="69" customFormat="1" ht="19.350000000000001" customHeight="1" thickBot="1" x14ac:dyDescent="0.25">
      <c r="B53" s="132" t="s">
        <v>167</v>
      </c>
      <c r="C53" s="133"/>
      <c r="D53" s="134"/>
      <c r="E53" s="134"/>
      <c r="F53" s="134"/>
      <c r="G53" s="134"/>
      <c r="H53" s="248"/>
      <c r="I53" s="137">
        <f>SUM(I54:I56)</f>
        <v>21208</v>
      </c>
      <c r="J53" s="138">
        <f>SUM(J54:J56)</f>
        <v>0</v>
      </c>
      <c r="K53" s="139">
        <f>SUM(K54:K56)</f>
        <v>21208</v>
      </c>
      <c r="L53" s="137">
        <f t="shared" ref="L53:P53" si="20">SUM(L54:L56)</f>
        <v>0</v>
      </c>
      <c r="M53" s="136">
        <f t="shared" si="20"/>
        <v>0</v>
      </c>
      <c r="N53" s="136">
        <f t="shared" si="20"/>
        <v>0</v>
      </c>
      <c r="O53" s="137">
        <f t="shared" si="20"/>
        <v>0</v>
      </c>
      <c r="P53" s="139">
        <f t="shared" si="20"/>
        <v>0</v>
      </c>
      <c r="Q53" s="278"/>
      <c r="R53" s="227"/>
    </row>
    <row r="54" spans="1:24" s="69" customFormat="1" ht="17.100000000000001" customHeight="1" outlineLevel="1" x14ac:dyDescent="0.2">
      <c r="B54" s="89" t="s">
        <v>168</v>
      </c>
      <c r="C54" s="228" t="s">
        <v>169</v>
      </c>
      <c r="D54" s="229"/>
      <c r="E54" s="229"/>
      <c r="F54" s="229"/>
      <c r="G54" s="229"/>
      <c r="H54" s="155">
        <f>IF(OR(H4="Diplôme Universitaire",H4="Formation courte"),MIN(222,222/500*'Recettes et simulat'!D27),222)</f>
        <v>222</v>
      </c>
      <c r="I54" s="155">
        <f t="shared" si="18"/>
        <v>4884</v>
      </c>
      <c r="J54" s="156">
        <f t="shared" ref="J54:J56" si="21">I54-K54</f>
        <v>0</v>
      </c>
      <c r="K54" s="157">
        <f t="shared" si="19"/>
        <v>4884</v>
      </c>
      <c r="L54" s="271"/>
      <c r="M54" s="272"/>
      <c r="N54" s="272"/>
      <c r="O54" s="75"/>
      <c r="P54" s="163">
        <f>SUM(L54:O54)</f>
        <v>0</v>
      </c>
      <c r="Q54" s="114"/>
      <c r="R54" s="279"/>
    </row>
    <row r="55" spans="1:24" s="69" customFormat="1" ht="17.100000000000001" customHeight="1" outlineLevel="1" x14ac:dyDescent="0.2">
      <c r="B55" s="89" t="s">
        <v>170</v>
      </c>
      <c r="C55" s="228" t="s">
        <v>171</v>
      </c>
      <c r="D55" s="229"/>
      <c r="E55" s="229"/>
      <c r="F55" s="229"/>
      <c r="G55" s="229"/>
      <c r="H55" s="155">
        <f>IF(OR(H4="Diplôme Universitaire",H4="Formation courte"),MIN(550,550/500*'Recettes et simulat'!D27),550)</f>
        <v>550</v>
      </c>
      <c r="I55" s="155">
        <f t="shared" si="18"/>
        <v>12100</v>
      </c>
      <c r="J55" s="156">
        <f t="shared" si="21"/>
        <v>0</v>
      </c>
      <c r="K55" s="157">
        <f t="shared" si="19"/>
        <v>12100</v>
      </c>
      <c r="L55" s="271"/>
      <c r="M55" s="272"/>
      <c r="N55" s="272"/>
      <c r="O55" s="75"/>
      <c r="P55" s="163">
        <f>SUM(L55:O55)</f>
        <v>0</v>
      </c>
      <c r="Q55" s="114"/>
      <c r="R55" s="227"/>
    </row>
    <row r="56" spans="1:24" s="69" customFormat="1" ht="17.100000000000001" customHeight="1" outlineLevel="1" thickBot="1" x14ac:dyDescent="0.25">
      <c r="B56" s="89" t="s">
        <v>172</v>
      </c>
      <c r="C56" s="228" t="s">
        <v>173</v>
      </c>
      <c r="D56" s="229"/>
      <c r="E56" s="229"/>
      <c r="F56" s="229"/>
      <c r="G56" s="229"/>
      <c r="H56" s="155">
        <f>IF(OR(H4="Diplôme Universitaire",H4="Formation courte"),MIN(192,192/500*'Recettes et simulat'!D27),192)</f>
        <v>192</v>
      </c>
      <c r="I56" s="155">
        <f t="shared" si="18"/>
        <v>4224</v>
      </c>
      <c r="J56" s="156">
        <f t="shared" si="21"/>
        <v>0</v>
      </c>
      <c r="K56" s="157">
        <f t="shared" si="19"/>
        <v>4224</v>
      </c>
      <c r="L56" s="271"/>
      <c r="M56" s="272"/>
      <c r="N56" s="272"/>
      <c r="O56" s="75"/>
      <c r="P56" s="163">
        <f>SUM(L56:O56)</f>
        <v>0</v>
      </c>
      <c r="Q56" s="114"/>
      <c r="R56" s="227"/>
    </row>
    <row r="57" spans="1:24" s="69" customFormat="1" ht="21.6" customHeight="1" thickBot="1" x14ac:dyDescent="0.25">
      <c r="B57" s="132" t="s">
        <v>174</v>
      </c>
      <c r="C57" s="133"/>
      <c r="D57" s="134"/>
      <c r="E57" s="134"/>
      <c r="F57" s="134"/>
      <c r="G57" s="134"/>
      <c r="H57" s="248"/>
      <c r="I57" s="137">
        <f>I48+I53</f>
        <v>47520</v>
      </c>
      <c r="J57" s="138">
        <f>J48+J53</f>
        <v>0</v>
      </c>
      <c r="K57" s="139">
        <f>K48+K53</f>
        <v>47520</v>
      </c>
      <c r="L57" s="137">
        <f t="shared" ref="L57:P57" si="22">L48+L53</f>
        <v>0</v>
      </c>
      <c r="M57" s="136">
        <f t="shared" si="22"/>
        <v>0</v>
      </c>
      <c r="N57" s="136">
        <f t="shared" si="22"/>
        <v>0</v>
      </c>
      <c r="O57" s="137">
        <f t="shared" si="22"/>
        <v>0</v>
      </c>
      <c r="P57" s="139">
        <f t="shared" si="22"/>
        <v>0</v>
      </c>
      <c r="Q57" s="141">
        <f>IF($K$70=0,0,K57/$K$70)</f>
        <v>0.29424148606811146</v>
      </c>
      <c r="R57" s="280" t="s">
        <v>118</v>
      </c>
      <c r="S57" s="281">
        <f>IF((K57+K44)=0,0,K57/(K57+K44))</f>
        <v>0.41111613914401302</v>
      </c>
      <c r="T57" s="142" t="s">
        <v>175</v>
      </c>
      <c r="U57" s="66"/>
    </row>
    <row r="58" spans="1:24" ht="21" customHeight="1" thickBot="1" x14ac:dyDescent="0.25">
      <c r="A58" s="69"/>
      <c r="B58" s="254"/>
      <c r="C58" s="282"/>
      <c r="D58" s="282"/>
      <c r="E58" s="256"/>
      <c r="F58" s="256"/>
      <c r="G58" s="256"/>
      <c r="H58" s="70" t="s">
        <v>176</v>
      </c>
      <c r="I58" s="247">
        <f>IF(E6=0,0,I57/E6)</f>
        <v>2160</v>
      </c>
      <c r="J58" s="247">
        <f>IF((E6-E7)=0,0,J57/(E6-E7))</f>
        <v>0</v>
      </c>
      <c r="K58" s="258">
        <f>IF(E7=0,0,K57/E7)</f>
        <v>2160</v>
      </c>
      <c r="L58" s="195"/>
      <c r="M58" s="195"/>
      <c r="N58" s="195"/>
      <c r="O58" s="195"/>
      <c r="P58" s="195"/>
      <c r="Q58" s="69"/>
      <c r="R58" s="69"/>
      <c r="S58" s="69"/>
      <c r="T58" s="112"/>
      <c r="U58" s="69"/>
      <c r="V58" s="69"/>
    </row>
    <row r="59" spans="1:24" s="69" customFormat="1" ht="13.35" customHeight="1" thickBot="1" x14ac:dyDescent="0.25">
      <c r="B59" s="283"/>
      <c r="C59" s="284"/>
      <c r="D59" s="284"/>
      <c r="E59" s="284"/>
      <c r="F59" s="284"/>
      <c r="G59" s="284"/>
      <c r="H59" s="284"/>
      <c r="I59" s="285"/>
      <c r="J59" s="285"/>
      <c r="K59" s="286"/>
      <c r="L59" s="287"/>
      <c r="M59" s="287"/>
      <c r="N59" s="287"/>
      <c r="O59" s="287"/>
      <c r="P59" s="287"/>
      <c r="Q59" s="288"/>
      <c r="R59" s="65"/>
    </row>
    <row r="60" spans="1:24" s="69" customFormat="1" ht="24.6" customHeight="1" thickBot="1" x14ac:dyDescent="0.25">
      <c r="B60" s="289" t="s">
        <v>177</v>
      </c>
      <c r="C60" s="289"/>
      <c r="D60" s="290"/>
      <c r="E60" s="291"/>
      <c r="F60" s="290"/>
      <c r="G60" s="292"/>
      <c r="H60" s="293"/>
      <c r="I60" s="294">
        <f>I57+I44</f>
        <v>115587.77551020408</v>
      </c>
      <c r="J60" s="294">
        <f>J57+J44</f>
        <v>0</v>
      </c>
      <c r="K60" s="295">
        <f>K57+K44</f>
        <v>115587.77551020408</v>
      </c>
      <c r="L60" s="294">
        <f t="shared" ref="L60:O60" si="23">L57+L44</f>
        <v>0</v>
      </c>
      <c r="M60" s="294">
        <f t="shared" si="23"/>
        <v>0</v>
      </c>
      <c r="N60" s="294">
        <f t="shared" si="23"/>
        <v>0</v>
      </c>
      <c r="O60" s="294">
        <f t="shared" si="23"/>
        <v>0</v>
      </c>
      <c r="P60" s="295">
        <f>P57+P44</f>
        <v>0</v>
      </c>
      <c r="Q60" s="141">
        <f>IF($K$70=0,0,K60/$K$70)</f>
        <v>0.71571378024894172</v>
      </c>
      <c r="R60" s="142" t="s">
        <v>118</v>
      </c>
      <c r="U60" s="113"/>
      <c r="V60" s="113"/>
    </row>
    <row r="61" spans="1:24" s="113" customFormat="1" ht="18.600000000000001" customHeight="1" x14ac:dyDescent="0.2">
      <c r="B61" s="188"/>
      <c r="C61" s="269"/>
      <c r="D61" s="296"/>
      <c r="E61" s="296"/>
      <c r="F61" s="296"/>
      <c r="G61" s="297"/>
      <c r="H61" s="297" t="s">
        <v>178</v>
      </c>
      <c r="I61" s="298">
        <f>IF(E6=0,0,I60/$E$6)</f>
        <v>5253.9897959183672</v>
      </c>
      <c r="J61" s="299">
        <f>IF(($E$6-$E$7)=0,0,J60/($E$6-$E$7))</f>
        <v>0</v>
      </c>
      <c r="K61" s="300">
        <f>IF(E7=0,0,K60/$E$7)</f>
        <v>5253.9897959183672</v>
      </c>
      <c r="L61" s="301"/>
      <c r="M61" s="301"/>
      <c r="N61" s="301"/>
      <c r="O61" s="302"/>
      <c r="P61" s="302"/>
      <c r="Q61" s="114"/>
      <c r="R61" s="227"/>
      <c r="S61" s="69"/>
    </row>
    <row r="62" spans="1:24" s="113" customFormat="1" ht="18.600000000000001" customHeight="1" thickBot="1" x14ac:dyDescent="0.25">
      <c r="B62" s="200"/>
      <c r="C62" s="303"/>
      <c r="D62" s="304"/>
      <c r="E62" s="304"/>
      <c r="F62" s="304"/>
      <c r="G62" s="305"/>
      <c r="H62" s="305" t="s">
        <v>179</v>
      </c>
      <c r="I62" s="238">
        <f t="shared" ref="I62:P62" si="24">IF(I31=0,0,I60/I31)</f>
        <v>222.28418367346939</v>
      </c>
      <c r="J62" s="238">
        <f t="shared" si="24"/>
        <v>0</v>
      </c>
      <c r="K62" s="238">
        <f t="shared" si="24"/>
        <v>222.28418367346939</v>
      </c>
      <c r="L62" s="238">
        <f t="shared" si="24"/>
        <v>0</v>
      </c>
      <c r="M62" s="238">
        <f t="shared" si="24"/>
        <v>0</v>
      </c>
      <c r="N62" s="238">
        <f t="shared" si="24"/>
        <v>0</v>
      </c>
      <c r="O62" s="238">
        <f t="shared" si="24"/>
        <v>0</v>
      </c>
      <c r="P62" s="346">
        <f t="shared" si="24"/>
        <v>0</v>
      </c>
      <c r="Q62" s="347"/>
      <c r="R62" s="227"/>
      <c r="S62" s="69"/>
      <c r="U62" s="69"/>
      <c r="V62" s="69"/>
    </row>
    <row r="63" spans="1:24" ht="13.5" thickBot="1" x14ac:dyDescent="0.25">
      <c r="B63" s="306"/>
      <c r="C63" s="306"/>
      <c r="D63" s="306"/>
      <c r="E63" s="306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307"/>
      <c r="R63" s="65"/>
      <c r="S63" s="69"/>
      <c r="T63" s="69"/>
      <c r="U63" s="65"/>
      <c r="V63" s="69"/>
      <c r="W63" s="69"/>
      <c r="X63" s="69"/>
    </row>
    <row r="64" spans="1:24" ht="24.6" customHeight="1" thickBot="1" x14ac:dyDescent="0.25">
      <c r="B64" s="479" t="s">
        <v>180</v>
      </c>
      <c r="C64" s="480"/>
      <c r="D64" s="480"/>
      <c r="E64" s="480"/>
      <c r="F64" s="480"/>
      <c r="G64" s="480"/>
      <c r="H64" s="480"/>
      <c r="I64" s="480"/>
      <c r="J64" s="480"/>
      <c r="K64" s="481"/>
      <c r="L64" s="115"/>
      <c r="M64" s="116"/>
      <c r="N64" s="116"/>
      <c r="O64" s="116"/>
      <c r="P64" s="117"/>
      <c r="Q64" s="65"/>
      <c r="R64" s="65"/>
      <c r="S64" s="69"/>
      <c r="T64" s="65"/>
      <c r="U64" s="69"/>
      <c r="V64" s="69"/>
      <c r="W64" s="69"/>
      <c r="X64" s="69"/>
    </row>
    <row r="65" spans="2:24" ht="7.5" customHeight="1" thickBot="1" x14ac:dyDescent="0.25">
      <c r="B65" s="308"/>
      <c r="C65" s="69"/>
      <c r="D65" s="69"/>
      <c r="E65" s="69"/>
      <c r="F65" s="69"/>
      <c r="G65" s="69"/>
      <c r="H65" s="102"/>
      <c r="I65" s="309"/>
      <c r="J65" s="309"/>
      <c r="K65" s="310"/>
      <c r="L65" s="311"/>
      <c r="M65" s="311"/>
      <c r="N65" s="311"/>
      <c r="O65" s="311"/>
      <c r="P65" s="311"/>
      <c r="Q65" s="67"/>
      <c r="R65" s="65"/>
      <c r="S65" s="69"/>
      <c r="T65" s="69"/>
      <c r="U65" s="65"/>
      <c r="V65" s="65"/>
      <c r="W65" s="69"/>
      <c r="X65" s="69"/>
    </row>
    <row r="66" spans="2:24" s="65" customFormat="1" ht="51.75" thickBot="1" x14ac:dyDescent="0.25">
      <c r="B66" s="261" t="s">
        <v>181</v>
      </c>
      <c r="C66" s="262" t="s">
        <v>182</v>
      </c>
      <c r="D66" s="263"/>
      <c r="E66" s="263"/>
      <c r="F66" s="263"/>
      <c r="G66" s="263"/>
      <c r="H66" s="312"/>
      <c r="I66" s="313" t="s">
        <v>110</v>
      </c>
      <c r="J66" s="124" t="s">
        <v>111</v>
      </c>
      <c r="K66" s="125" t="s">
        <v>157</v>
      </c>
      <c r="L66" s="264" t="s">
        <v>113</v>
      </c>
      <c r="M66" s="123" t="s">
        <v>114</v>
      </c>
      <c r="N66" s="123" t="s">
        <v>115</v>
      </c>
      <c r="O66" s="314" t="s">
        <v>116</v>
      </c>
      <c r="P66" s="315" t="s">
        <v>23</v>
      </c>
      <c r="Q66" s="265"/>
      <c r="R66" s="131"/>
      <c r="U66" s="69"/>
      <c r="V66" s="69"/>
    </row>
    <row r="67" spans="2:24" ht="24" customHeight="1" x14ac:dyDescent="0.2">
      <c r="B67" s="216" t="s">
        <v>183</v>
      </c>
      <c r="C67" s="268" t="s">
        <v>184</v>
      </c>
      <c r="D67" s="316"/>
      <c r="E67" s="316"/>
      <c r="F67" s="316"/>
      <c r="G67" s="316"/>
      <c r="H67" s="317"/>
      <c r="I67" s="318">
        <f>J67+K67</f>
        <v>161500</v>
      </c>
      <c r="J67" s="318">
        <f>'Recettes et simulat'!H15</f>
        <v>0</v>
      </c>
      <c r="K67" s="319">
        <f>'Recettes et simulat'!K27</f>
        <v>161500</v>
      </c>
      <c r="L67" s="222"/>
      <c r="M67" s="223"/>
      <c r="N67" s="320"/>
      <c r="O67" s="320"/>
      <c r="P67" s="225">
        <f>SUM(L67:O67)</f>
        <v>0</v>
      </c>
      <c r="Q67" s="65"/>
      <c r="R67" s="65"/>
      <c r="S67" s="69"/>
      <c r="T67" s="69"/>
      <c r="U67" s="69"/>
      <c r="V67" s="69"/>
      <c r="W67" s="69"/>
      <c r="X67" s="65"/>
    </row>
    <row r="68" spans="2:24" ht="27" customHeight="1" thickBot="1" x14ac:dyDescent="0.25">
      <c r="B68" s="233" t="s">
        <v>185</v>
      </c>
      <c r="C68" s="234" t="s">
        <v>186</v>
      </c>
      <c r="D68" s="321"/>
      <c r="E68" s="321"/>
      <c r="F68" s="321"/>
      <c r="G68" s="321"/>
      <c r="H68" s="322"/>
      <c r="I68" s="323">
        <f>J68+K68</f>
        <v>0</v>
      </c>
      <c r="J68" s="324"/>
      <c r="K68" s="325">
        <f>'Recettes et simulat'!F38</f>
        <v>0</v>
      </c>
      <c r="L68" s="240"/>
      <c r="M68" s="241"/>
      <c r="N68" s="241"/>
      <c r="O68" s="326"/>
      <c r="P68" s="243">
        <f>SUM(L68:O68)</f>
        <v>0</v>
      </c>
      <c r="Q68" s="65"/>
      <c r="R68" s="65"/>
      <c r="S68" s="69"/>
      <c r="T68" s="69"/>
      <c r="U68" s="69"/>
      <c r="V68" s="69"/>
      <c r="W68" s="69"/>
      <c r="X68" s="65"/>
    </row>
    <row r="69" spans="2:24" ht="11.45" customHeight="1" thickBot="1" x14ac:dyDescent="0.25">
      <c r="B69" s="327"/>
      <c r="C69" s="328"/>
      <c r="D69" s="329"/>
      <c r="E69" s="328"/>
      <c r="F69" s="329"/>
      <c r="G69" s="329"/>
      <c r="H69" s="329"/>
      <c r="I69" s="330"/>
      <c r="J69" s="330"/>
      <c r="K69" s="331"/>
      <c r="L69" s="330"/>
      <c r="M69" s="330"/>
      <c r="N69" s="330"/>
      <c r="O69" s="330"/>
      <c r="P69" s="330"/>
      <c r="Q69" s="332"/>
      <c r="R69" s="333"/>
      <c r="S69" s="334"/>
      <c r="T69" s="69"/>
      <c r="U69" s="69"/>
      <c r="V69" s="69"/>
      <c r="W69" s="69"/>
      <c r="X69" s="65"/>
    </row>
    <row r="70" spans="2:24" s="69" customFormat="1" ht="24.6" customHeight="1" thickBot="1" x14ac:dyDescent="0.25">
      <c r="B70" s="289" t="s">
        <v>187</v>
      </c>
      <c r="C70" s="289"/>
      <c r="D70" s="290"/>
      <c r="E70" s="291"/>
      <c r="F70" s="290"/>
      <c r="G70" s="292"/>
      <c r="H70" s="293"/>
      <c r="I70" s="294">
        <f>I67+I68</f>
        <v>161500</v>
      </c>
      <c r="J70" s="294">
        <f>J67+J68</f>
        <v>0</v>
      </c>
      <c r="K70" s="295">
        <f>K67+K68</f>
        <v>161500</v>
      </c>
      <c r="L70" s="294">
        <f t="shared" ref="L70:O70" si="25">L67+L68</f>
        <v>0</v>
      </c>
      <c r="M70" s="294">
        <f t="shared" si="25"/>
        <v>0</v>
      </c>
      <c r="N70" s="294">
        <f t="shared" si="25"/>
        <v>0</v>
      </c>
      <c r="O70" s="294">
        <f t="shared" si="25"/>
        <v>0</v>
      </c>
      <c r="P70" s="295">
        <f>P67+P68</f>
        <v>0</v>
      </c>
      <c r="U70" s="113"/>
      <c r="V70" s="113"/>
      <c r="X70" s="65"/>
    </row>
    <row r="71" spans="2:24" s="113" customFormat="1" ht="18" customHeight="1" thickBot="1" x14ac:dyDescent="0.25">
      <c r="B71" s="254"/>
      <c r="C71" s="282"/>
      <c r="D71" s="335"/>
      <c r="E71" s="335"/>
      <c r="F71" s="335"/>
      <c r="G71" s="336"/>
      <c r="H71" s="336" t="s">
        <v>188</v>
      </c>
      <c r="I71" s="337"/>
      <c r="J71" s="337"/>
      <c r="K71" s="338">
        <f>IF(E7=0,0,K70/$E$7)</f>
        <v>7340.909090909091</v>
      </c>
      <c r="L71" s="301"/>
      <c r="M71" s="301"/>
      <c r="N71" s="301"/>
      <c r="O71" s="302"/>
      <c r="P71" s="302"/>
      <c r="Q71" s="114"/>
      <c r="R71" s="227"/>
      <c r="S71" s="69"/>
    </row>
    <row r="72" spans="2:24" s="69" customFormat="1" ht="13.5" thickBot="1" x14ac:dyDescent="0.25">
      <c r="C72" s="306"/>
      <c r="D72" s="306"/>
      <c r="E72" s="306"/>
      <c r="F72" s="306"/>
      <c r="G72" s="306"/>
      <c r="H72" s="306"/>
      <c r="I72" s="339"/>
      <c r="J72" s="339"/>
      <c r="K72" s="339"/>
      <c r="L72" s="339"/>
      <c r="M72" s="339"/>
      <c r="N72" s="339"/>
      <c r="O72" s="339"/>
      <c r="P72" s="339"/>
      <c r="Q72" s="66"/>
      <c r="R72" s="65"/>
    </row>
    <row r="73" spans="2:24" s="69" customFormat="1" ht="24.6" customHeight="1" thickBot="1" x14ac:dyDescent="0.25">
      <c r="B73" s="289" t="s">
        <v>189</v>
      </c>
      <c r="C73" s="289"/>
      <c r="D73" s="290"/>
      <c r="E73" s="291"/>
      <c r="F73" s="290"/>
      <c r="G73" s="292"/>
      <c r="H73" s="293"/>
      <c r="I73" s="294">
        <f t="shared" ref="I73:P73" si="26">I70-I60</f>
        <v>45912.224489795917</v>
      </c>
      <c r="J73" s="294">
        <f t="shared" si="26"/>
        <v>0</v>
      </c>
      <c r="K73" s="295">
        <f t="shared" si="26"/>
        <v>45912.224489795917</v>
      </c>
      <c r="L73" s="294">
        <f t="shared" si="26"/>
        <v>0</v>
      </c>
      <c r="M73" s="294">
        <f t="shared" si="26"/>
        <v>0</v>
      </c>
      <c r="N73" s="294">
        <f t="shared" si="26"/>
        <v>0</v>
      </c>
      <c r="O73" s="294">
        <f t="shared" si="26"/>
        <v>0</v>
      </c>
      <c r="P73" s="295">
        <f t="shared" si="26"/>
        <v>0</v>
      </c>
      <c r="Q73" s="141">
        <f>IF($K$70=0,0,K73/$K$70)</f>
        <v>0.28428621975105833</v>
      </c>
      <c r="R73" s="142" t="s">
        <v>118</v>
      </c>
      <c r="U73" s="113"/>
      <c r="V73" s="113"/>
      <c r="X73" s="65"/>
    </row>
    <row r="74" spans="2:24" s="69" customFormat="1" ht="2.4500000000000002" hidden="1" customHeight="1" thickBot="1" x14ac:dyDescent="0.25">
      <c r="B74" s="289" t="s">
        <v>190</v>
      </c>
      <c r="C74" s="289"/>
      <c r="D74" s="290"/>
      <c r="E74" s="291"/>
      <c r="F74" s="290"/>
      <c r="G74" s="292"/>
      <c r="H74" s="293"/>
      <c r="I74" s="294" t="e">
        <f>#REF!</f>
        <v>#REF!</v>
      </c>
      <c r="J74" s="294" t="e">
        <f>#REF!</f>
        <v>#REF!</v>
      </c>
      <c r="K74" s="295" t="e">
        <f>#REF!</f>
        <v>#REF!</v>
      </c>
      <c r="L74" s="294"/>
      <c r="M74" s="294"/>
      <c r="N74" s="294"/>
      <c r="O74" s="294"/>
      <c r="P74" s="295"/>
      <c r="Q74" s="141" t="e">
        <f>IF($K$70=0,0,K74/$K$70)</f>
        <v>#REF!</v>
      </c>
      <c r="R74" s="142" t="s">
        <v>118</v>
      </c>
      <c r="U74" s="113"/>
      <c r="V74" s="113"/>
      <c r="X74" s="65"/>
    </row>
    <row r="75" spans="2:24" ht="18" customHeight="1" outlineLevel="1" thickBot="1" x14ac:dyDescent="0.25">
      <c r="B75" s="495" t="s">
        <v>191</v>
      </c>
      <c r="C75" s="497"/>
      <c r="D75" s="434" t="s">
        <v>192</v>
      </c>
      <c r="E75" s="418"/>
      <c r="F75" s="417"/>
      <c r="G75" s="419"/>
      <c r="H75" s="420"/>
      <c r="I75" s="421"/>
      <c r="J75" s="422"/>
      <c r="K75" s="437">
        <f>K12+K33+K49</f>
        <v>74931.775510204083</v>
      </c>
      <c r="L75" s="294"/>
      <c r="M75" s="294"/>
      <c r="N75" s="294"/>
      <c r="O75" s="294"/>
      <c r="P75" s="295"/>
      <c r="Q75" s="69"/>
      <c r="R75" s="69"/>
      <c r="S75" s="69"/>
      <c r="T75" s="69"/>
      <c r="U75" s="69"/>
      <c r="V75" s="69"/>
      <c r="W75" s="69"/>
      <c r="X75" s="69"/>
    </row>
    <row r="76" spans="2:24" ht="18" customHeight="1" outlineLevel="1" x14ac:dyDescent="0.2">
      <c r="B76" s="527"/>
      <c r="C76" s="528"/>
      <c r="D76" s="435" t="s">
        <v>193</v>
      </c>
      <c r="E76" s="424"/>
      <c r="F76" s="423"/>
      <c r="G76" s="425"/>
      <c r="H76" s="426"/>
      <c r="I76" s="427"/>
      <c r="J76" s="428"/>
      <c r="K76" s="438">
        <f>IFERROR(K75/K71,0)</f>
        <v>10.20742452770582</v>
      </c>
    </row>
    <row r="77" spans="2:24" ht="18" customHeight="1" outlineLevel="1" thickBot="1" x14ac:dyDescent="0.25">
      <c r="B77" s="529"/>
      <c r="C77" s="530"/>
      <c r="D77" s="436" t="s">
        <v>194</v>
      </c>
      <c r="E77" s="430"/>
      <c r="F77" s="429"/>
      <c r="G77" s="431"/>
      <c r="H77" s="432"/>
      <c r="I77" s="205"/>
      <c r="J77" s="433"/>
      <c r="K77" s="239">
        <f>IFERROR(K60/K71,0)</f>
        <v>15.745703165476717</v>
      </c>
    </row>
  </sheetData>
  <sheetProtection algorithmName="SHA-512" hashValue="TmNsRPZfBgiph0fMu+MTghkDK+hVObdMsjY+lXjqoNSCT0E/IWoL8QQGGo35j/16tcMydjIUTIPVrKUBePGYqA==" saltValue="N6uly7luwISasXx9zzhUYg==" spinCount="100000" sheet="1" formatRows="0" autoFilter="0"/>
  <mergeCells count="24">
    <mergeCell ref="B75:C77"/>
    <mergeCell ref="B25:F25"/>
    <mergeCell ref="C27:F27"/>
    <mergeCell ref="C28:F28"/>
    <mergeCell ref="B30:F30"/>
    <mergeCell ref="B64:K64"/>
    <mergeCell ref="C24:F24"/>
    <mergeCell ref="H6:K6"/>
    <mergeCell ref="B9:K9"/>
    <mergeCell ref="C11:F11"/>
    <mergeCell ref="C14:F14"/>
    <mergeCell ref="C15:F15"/>
    <mergeCell ref="C16:F16"/>
    <mergeCell ref="C17:F17"/>
    <mergeCell ref="B18:F18"/>
    <mergeCell ref="C21:F21"/>
    <mergeCell ref="C22:F22"/>
    <mergeCell ref="C23:F23"/>
    <mergeCell ref="B2:K2"/>
    <mergeCell ref="L2:P2"/>
    <mergeCell ref="D4:E4"/>
    <mergeCell ref="H4:K4"/>
    <mergeCell ref="D5:E5"/>
    <mergeCell ref="H5:K5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S32"/>
  <sheetViews>
    <sheetView zoomScaleNormal="100" workbookViewId="0">
      <selection activeCell="O13" sqref="O13"/>
    </sheetView>
  </sheetViews>
  <sheetFormatPr baseColWidth="10" defaultColWidth="11.42578125" defaultRowHeight="12.75" x14ac:dyDescent="0.2"/>
  <cols>
    <col min="1" max="1" width="2.7109375" style="1" customWidth="1"/>
    <col min="2" max="2" width="11.42578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42578125" style="1"/>
    <col min="9" max="9" width="59.28515625" style="1" bestFit="1" customWidth="1"/>
    <col min="10" max="10" width="11.42578125" style="1"/>
    <col min="11" max="12" width="0" style="1" hidden="1" customWidth="1"/>
    <col min="13" max="16384" width="11.42578125" style="1"/>
  </cols>
  <sheetData>
    <row r="3" spans="2:12" x14ac:dyDescent="0.2">
      <c r="B3" s="532" t="s">
        <v>195</v>
      </c>
      <c r="C3" s="533"/>
      <c r="D3" s="533"/>
      <c r="E3" s="4"/>
      <c r="F3" s="4"/>
      <c r="G3" s="4"/>
      <c r="I3" s="8" t="s">
        <v>196</v>
      </c>
    </row>
    <row r="4" spans="2:12" x14ac:dyDescent="0.2">
      <c r="C4" s="6"/>
      <c r="D4" s="6"/>
      <c r="E4" s="6"/>
      <c r="F4" s="7"/>
      <c r="G4" s="7"/>
    </row>
    <row r="5" spans="2:12" ht="15" x14ac:dyDescent="0.2">
      <c r="E5" s="1" t="s">
        <v>197</v>
      </c>
      <c r="F5" s="386" t="s">
        <v>198</v>
      </c>
      <c r="G5" s="386" t="s">
        <v>199</v>
      </c>
    </row>
    <row r="6" spans="2:12" ht="15" x14ac:dyDescent="0.2">
      <c r="B6" s="531" t="s">
        <v>200</v>
      </c>
      <c r="C6" s="4" t="s">
        <v>201</v>
      </c>
      <c r="D6" s="3" t="s">
        <v>202</v>
      </c>
      <c r="E6" s="3">
        <v>1</v>
      </c>
      <c r="F6" s="3">
        <v>1.5</v>
      </c>
      <c r="G6" s="3">
        <v>1.5</v>
      </c>
      <c r="I6" s="5" t="s">
        <v>203</v>
      </c>
      <c r="K6" s="4" t="s">
        <v>204</v>
      </c>
      <c r="L6" s="4">
        <v>1</v>
      </c>
    </row>
    <row r="7" spans="2:12" ht="15" x14ac:dyDescent="0.2">
      <c r="B7" s="531"/>
      <c r="C7" s="4" t="s">
        <v>205</v>
      </c>
      <c r="D7" s="391" t="s">
        <v>206</v>
      </c>
      <c r="E7" s="3">
        <v>1</v>
      </c>
      <c r="F7" s="3">
        <v>1</v>
      </c>
      <c r="G7" s="3">
        <v>1</v>
      </c>
      <c r="I7" s="5" t="s">
        <v>207</v>
      </c>
      <c r="K7" s="4" t="s">
        <v>208</v>
      </c>
      <c r="L7" s="4">
        <v>2</v>
      </c>
    </row>
    <row r="8" spans="2:12" ht="15" x14ac:dyDescent="0.2">
      <c r="B8" s="531"/>
      <c r="C8" s="5" t="s">
        <v>209</v>
      </c>
      <c r="D8" s="391" t="s">
        <v>210</v>
      </c>
      <c r="E8" s="3">
        <v>1</v>
      </c>
      <c r="F8" s="3">
        <v>0.66</v>
      </c>
      <c r="G8" s="3">
        <v>0.66</v>
      </c>
      <c r="I8" s="5" t="s">
        <v>211</v>
      </c>
      <c r="K8" s="4" t="s">
        <v>212</v>
      </c>
      <c r="L8" s="4">
        <v>2</v>
      </c>
    </row>
    <row r="9" spans="2:12" ht="15" x14ac:dyDescent="0.2">
      <c r="B9" s="531" t="s">
        <v>213</v>
      </c>
      <c r="C9" s="4" t="s">
        <v>214</v>
      </c>
      <c r="D9" s="391" t="s">
        <v>215</v>
      </c>
      <c r="E9" s="391">
        <v>0</v>
      </c>
      <c r="F9" s="3">
        <v>0</v>
      </c>
      <c r="G9" s="3">
        <v>1</v>
      </c>
      <c r="I9" s="5" t="s">
        <v>216</v>
      </c>
      <c r="K9" s="4" t="s">
        <v>217</v>
      </c>
      <c r="L9" s="4">
        <v>3</v>
      </c>
    </row>
    <row r="10" spans="2:12" ht="15" x14ac:dyDescent="0.2">
      <c r="B10" s="531"/>
      <c r="C10" s="5" t="s">
        <v>218</v>
      </c>
      <c r="D10" s="391" t="s">
        <v>219</v>
      </c>
      <c r="E10" s="3">
        <v>1</v>
      </c>
      <c r="F10" s="3">
        <v>1</v>
      </c>
      <c r="G10" s="3">
        <v>1</v>
      </c>
      <c r="I10" s="5" t="s">
        <v>220</v>
      </c>
      <c r="K10" s="4" t="s">
        <v>221</v>
      </c>
      <c r="L10" s="4">
        <v>3</v>
      </c>
    </row>
    <row r="11" spans="2:12" ht="15" x14ac:dyDescent="0.2">
      <c r="B11" s="531"/>
      <c r="C11" s="5" t="s">
        <v>222</v>
      </c>
      <c r="D11" s="391" t="s">
        <v>223</v>
      </c>
      <c r="E11" s="3">
        <v>1</v>
      </c>
      <c r="F11" s="3">
        <v>1.5</v>
      </c>
      <c r="G11" s="3">
        <v>1.5</v>
      </c>
      <c r="I11" s="5" t="s">
        <v>224</v>
      </c>
      <c r="K11" s="4" t="s">
        <v>225</v>
      </c>
      <c r="L11" s="4">
        <v>2</v>
      </c>
    </row>
    <row r="12" spans="2:12" ht="15" x14ac:dyDescent="0.2">
      <c r="B12" s="531"/>
      <c r="C12" s="4" t="s">
        <v>226</v>
      </c>
      <c r="D12" s="391" t="s">
        <v>227</v>
      </c>
      <c r="E12" s="3">
        <v>0</v>
      </c>
      <c r="F12" s="3">
        <v>0</v>
      </c>
      <c r="G12" s="3">
        <v>1</v>
      </c>
      <c r="I12" s="5" t="s">
        <v>228</v>
      </c>
      <c r="K12" s="4" t="s">
        <v>229</v>
      </c>
      <c r="L12" s="4">
        <v>3</v>
      </c>
    </row>
    <row r="13" spans="2:12" ht="15" x14ac:dyDescent="0.2">
      <c r="B13" s="531"/>
      <c r="C13" s="5" t="s">
        <v>230</v>
      </c>
      <c r="D13" s="391" t="s">
        <v>231</v>
      </c>
      <c r="E13" s="3">
        <v>1</v>
      </c>
      <c r="F13" s="3">
        <v>1</v>
      </c>
      <c r="G13" s="3">
        <v>1</v>
      </c>
      <c r="I13" s="5" t="s">
        <v>232</v>
      </c>
    </row>
    <row r="14" spans="2:12" ht="15" x14ac:dyDescent="0.2">
      <c r="B14" s="531"/>
      <c r="C14" s="5" t="s">
        <v>233</v>
      </c>
      <c r="D14" s="391" t="s">
        <v>234</v>
      </c>
      <c r="E14" s="3">
        <v>1</v>
      </c>
      <c r="F14" s="3">
        <v>1.5</v>
      </c>
      <c r="G14" s="3">
        <v>1.5</v>
      </c>
      <c r="I14" s="5" t="s">
        <v>235</v>
      </c>
    </row>
    <row r="15" spans="2:12" ht="15" x14ac:dyDescent="0.2">
      <c r="B15" s="531"/>
      <c r="C15" s="4" t="s">
        <v>236</v>
      </c>
      <c r="D15" s="391" t="s">
        <v>237</v>
      </c>
      <c r="E15" s="3">
        <v>0</v>
      </c>
      <c r="F15" s="3">
        <v>0</v>
      </c>
      <c r="G15" s="3">
        <v>1</v>
      </c>
      <c r="I15" s="5" t="s">
        <v>238</v>
      </c>
    </row>
    <row r="16" spans="2:12" ht="15" x14ac:dyDescent="0.2">
      <c r="B16" s="531"/>
      <c r="C16" s="5" t="s">
        <v>239</v>
      </c>
      <c r="D16" s="391" t="s">
        <v>240</v>
      </c>
      <c r="E16" s="3">
        <v>1</v>
      </c>
      <c r="F16" s="3">
        <v>1</v>
      </c>
      <c r="G16" s="3">
        <v>1</v>
      </c>
      <c r="I16" s="5" t="s">
        <v>241</v>
      </c>
    </row>
    <row r="17" spans="2:19" ht="15" x14ac:dyDescent="0.2">
      <c r="B17" s="531"/>
      <c r="C17" s="5" t="s">
        <v>242</v>
      </c>
      <c r="D17" s="391" t="s">
        <v>243</v>
      </c>
      <c r="E17" s="3">
        <v>1</v>
      </c>
      <c r="F17" s="3">
        <v>1.5</v>
      </c>
      <c r="G17" s="3">
        <v>1.5</v>
      </c>
      <c r="I17" s="5" t="s">
        <v>244</v>
      </c>
    </row>
    <row r="18" spans="2:19" ht="15" x14ac:dyDescent="0.2">
      <c r="B18" s="531"/>
      <c r="C18" s="4" t="s">
        <v>245</v>
      </c>
      <c r="D18" s="391" t="s">
        <v>246</v>
      </c>
      <c r="E18" s="3">
        <v>0</v>
      </c>
      <c r="F18" s="3">
        <v>0</v>
      </c>
      <c r="G18" s="3">
        <v>1</v>
      </c>
      <c r="I18" s="2"/>
    </row>
    <row r="19" spans="2:19" ht="15" x14ac:dyDescent="0.2">
      <c r="B19" s="531"/>
      <c r="C19" s="5" t="s">
        <v>247</v>
      </c>
      <c r="D19" s="391" t="s">
        <v>248</v>
      </c>
      <c r="E19" s="3">
        <v>1</v>
      </c>
      <c r="F19" s="3">
        <v>1</v>
      </c>
      <c r="G19" s="3">
        <v>1</v>
      </c>
      <c r="I19" s="2"/>
    </row>
    <row r="20" spans="2:19" ht="15" x14ac:dyDescent="0.2">
      <c r="B20" s="531"/>
      <c r="C20" s="5" t="s">
        <v>249</v>
      </c>
      <c r="D20" s="391" t="s">
        <v>250</v>
      </c>
      <c r="E20" s="3">
        <v>1</v>
      </c>
      <c r="F20" s="3">
        <v>1.5</v>
      </c>
      <c r="G20" s="3">
        <v>1.5</v>
      </c>
    </row>
    <row r="21" spans="2:19" ht="15" x14ac:dyDescent="0.2">
      <c r="B21" s="531"/>
      <c r="C21" s="4" t="s">
        <v>251</v>
      </c>
      <c r="D21" s="391" t="s">
        <v>252</v>
      </c>
      <c r="E21" s="3">
        <v>1</v>
      </c>
      <c r="F21" s="3">
        <v>1</v>
      </c>
      <c r="G21" s="3">
        <v>1</v>
      </c>
    </row>
    <row r="22" spans="2:19" ht="15" x14ac:dyDescent="0.2">
      <c r="B22" s="531"/>
      <c r="C22" s="4" t="s">
        <v>253</v>
      </c>
      <c r="D22" s="391" t="s">
        <v>254</v>
      </c>
      <c r="E22" s="3">
        <v>0</v>
      </c>
      <c r="F22" s="3">
        <v>0</v>
      </c>
      <c r="G22" s="3">
        <v>1</v>
      </c>
    </row>
    <row r="23" spans="2:19" ht="15" x14ac:dyDescent="0.2">
      <c r="B23" s="531"/>
      <c r="C23" s="5" t="s">
        <v>255</v>
      </c>
      <c r="D23" s="391" t="s">
        <v>256</v>
      </c>
      <c r="E23" s="391">
        <v>1</v>
      </c>
      <c r="F23" s="3">
        <v>1</v>
      </c>
      <c r="G23" s="3">
        <v>1</v>
      </c>
    </row>
    <row r="24" spans="2:19" ht="15" x14ac:dyDescent="0.2">
      <c r="B24" s="531"/>
      <c r="C24" s="5" t="s">
        <v>257</v>
      </c>
      <c r="D24" s="5" t="s">
        <v>258</v>
      </c>
      <c r="E24" s="4">
        <v>1</v>
      </c>
      <c r="F24" s="3">
        <v>1.5</v>
      </c>
      <c r="G24" s="3">
        <v>1.5</v>
      </c>
    </row>
    <row r="25" spans="2:19" ht="15" x14ac:dyDescent="0.2">
      <c r="B25" s="531"/>
      <c r="C25" s="4" t="s">
        <v>259</v>
      </c>
      <c r="D25" s="5" t="s">
        <v>260</v>
      </c>
      <c r="E25" s="5">
        <v>0</v>
      </c>
      <c r="F25" s="3">
        <v>0</v>
      </c>
      <c r="G25" s="3">
        <v>1</v>
      </c>
    </row>
    <row r="26" spans="2:19" x14ac:dyDescent="0.2">
      <c r="B26" s="531"/>
      <c r="C26" s="5" t="s">
        <v>261</v>
      </c>
      <c r="D26" s="5" t="s">
        <v>262</v>
      </c>
      <c r="E26" s="5">
        <v>1</v>
      </c>
      <c r="F26" s="4">
        <v>1</v>
      </c>
      <c r="G26" s="4">
        <v>1</v>
      </c>
    </row>
    <row r="27" spans="2:19" x14ac:dyDescent="0.2">
      <c r="B27" s="531"/>
      <c r="C27" s="5" t="s">
        <v>263</v>
      </c>
      <c r="D27" s="5" t="s">
        <v>264</v>
      </c>
      <c r="E27" s="5">
        <v>1</v>
      </c>
      <c r="F27" s="4">
        <v>1.5</v>
      </c>
      <c r="G27" s="4">
        <v>1.5</v>
      </c>
    </row>
    <row r="31" spans="2:19" x14ac:dyDescent="0.2">
      <c r="S31" s="113"/>
    </row>
    <row r="32" spans="2:19" x14ac:dyDescent="0.2">
      <c r="S32" s="113"/>
    </row>
  </sheetData>
  <sheetProtection algorithmName="SHA-512" hashValue="9stzOAgl+wCqK6qXynA433P5Vq0mv3n4MP3PrwWy2nEGwMVrq54qA/CfSFR+zDrVSLlBUKdFyYbqz4JYCvIgfg==" saltValue="fw5Ko2nk7BAjp/3YNG8OFA==" spinCount="100000" sheet="1" objects="1" scenarios="1"/>
  <sortState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883798A9BA4244B5FA0C3D619B8538" ma:contentTypeVersion="2" ma:contentTypeDescription="Crée un document." ma:contentTypeScope="" ma:versionID="47807cc1cb2c9e4c12a887f09046726a">
  <xsd:schema xmlns:xsd="http://www.w3.org/2001/XMLSchema" xmlns:xs="http://www.w3.org/2001/XMLSchema" xmlns:p="http://schemas.microsoft.com/office/2006/metadata/properties" xmlns:ns2="c5b0bad3-fadf-479e-9086-aac596ec4e1f" targetNamespace="http://schemas.microsoft.com/office/2006/metadata/properties" ma:root="true" ma:fieldsID="e55d3002b07b04eeb3e4f4f9820ca6cc" ns2:_="">
    <xsd:import namespace="c5b0bad3-fadf-479e-9086-aac596ec4e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b0bad3-fadf-479e-9086-aac596ec4e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BF02B6-12E8-4D75-A7FD-1FDF6D9A19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b0bad3-fadf-479e-9086-aac596ec4e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98E34E-358E-443D-9A1B-BBAABD47E4EF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c5b0bad3-fadf-479e-9086-aac596ec4e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calcul heures</vt:lpstr>
      <vt:lpstr>Enseignements</vt:lpstr>
      <vt:lpstr>Recettes et simulat</vt:lpstr>
      <vt:lpstr>Budget détaillé</vt:lpstr>
      <vt:lpstr>Paramétrage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Andrea Chamblas</cp:lastModifiedBy>
  <cp:revision/>
  <cp:lastPrinted>2022-11-24T08:33:25Z</cp:lastPrinted>
  <dcterms:created xsi:type="dcterms:W3CDTF">2001-05-25T13:39:11Z</dcterms:created>
  <dcterms:modified xsi:type="dcterms:W3CDTF">2022-11-24T08:33:30Z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0x010100B7883798A9BA4244B5FA0C3D619B8538</vt:lpwstr>
  </property>
</Properties>
</file>