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Droit des affaires_propriété intellectuelle PI. CAE\"/>
    </mc:Choice>
  </mc:AlternateContent>
  <bookViews>
    <workbookView xWindow="0" yWindow="2844" windowWidth="28800" windowHeight="15876" activeTab="1"/>
  </bookViews>
  <sheets>
    <sheet name="Enseignements" sheetId="39" r:id="rId1"/>
    <sheet name="Recettes et simulat" sheetId="40" r:id="rId2"/>
    <sheet name="Budget détaillé" sheetId="41" r:id="rId3"/>
    <sheet name="Excédent mobilisable" sheetId="47" r:id="rId4"/>
    <sheet name="comparatif simplifié" sheetId="45" state="hidden" r:id="rId5"/>
    <sheet name="calcul heures" sheetId="43" state="hidden" r:id="rId6"/>
    <sheet name="Contrôles SCFC" sheetId="44" state="hidden" r:id="rId7"/>
    <sheet name="Paramétrage" sheetId="36"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 i="39" l="1"/>
  <c r="I45" i="41" l="1"/>
  <c r="I53" i="47"/>
  <c r="F16" i="40" l="1"/>
  <c r="H5" i="41" l="1"/>
  <c r="H6" i="45"/>
  <c r="E34" i="47" l="1"/>
  <c r="F34" i="47"/>
  <c r="G34" i="47"/>
  <c r="E33" i="47"/>
  <c r="G33" i="47"/>
  <c r="F33" i="47"/>
  <c r="D5" i="41" l="1"/>
  <c r="H5" i="47"/>
  <c r="H6" i="47"/>
  <c r="D5" i="47"/>
  <c r="K27" i="47" l="1"/>
  <c r="J8" i="47"/>
  <c r="I8" i="47"/>
  <c r="H7" i="47"/>
  <c r="D6" i="47"/>
  <c r="H4" i="47"/>
  <c r="D4" i="47"/>
  <c r="H8" i="45" l="1"/>
  <c r="I8" i="45" s="1"/>
  <c r="E7" i="47"/>
  <c r="H7" i="45" l="1"/>
  <c r="I7" i="45" l="1"/>
  <c r="H27" i="45"/>
  <c r="H35" i="41"/>
  <c r="H34" i="41"/>
  <c r="Q33" i="41"/>
  <c r="O33" i="41"/>
  <c r="N33" i="41"/>
  <c r="M33" i="41"/>
  <c r="L33" i="41"/>
  <c r="G33" i="41"/>
  <c r="I35" i="41" l="1"/>
  <c r="I34" i="47" s="1"/>
  <c r="H34" i="47"/>
  <c r="I34" i="41"/>
  <c r="I33" i="47" s="1"/>
  <c r="H33" i="47"/>
  <c r="D22" i="43"/>
  <c r="F21" i="43"/>
  <c r="E20" i="43"/>
  <c r="F19" i="43"/>
  <c r="I33" i="41" l="1"/>
  <c r="C6" i="45" s="1"/>
  <c r="I32" i="47"/>
  <c r="H33" i="41"/>
  <c r="E22" i="43"/>
  <c r="F22" i="43"/>
  <c r="K19" i="40"/>
  <c r="K20" i="40"/>
  <c r="K21" i="40"/>
  <c r="K22" i="40"/>
  <c r="K23" i="40"/>
  <c r="K24" i="40"/>
  <c r="K25" i="40"/>
  <c r="K26" i="40"/>
  <c r="K27" i="40"/>
  <c r="K18" i="40"/>
  <c r="H19" i="40" l="1"/>
  <c r="H20" i="40"/>
  <c r="H21" i="40"/>
  <c r="H22" i="40"/>
  <c r="H23" i="40"/>
  <c r="H24" i="40"/>
  <c r="H25" i="40"/>
  <c r="H26" i="40"/>
  <c r="H27" i="40"/>
  <c r="H18" i="40"/>
  <c r="AC89" i="39" l="1"/>
  <c r="AC88" i="39"/>
  <c r="AC87" i="39"/>
  <c r="AC86" i="39"/>
  <c r="AC85" i="39"/>
  <c r="AC84" i="39"/>
  <c r="AC83" i="39"/>
  <c r="AC82" i="39"/>
  <c r="AC81" i="39"/>
  <c r="AC80" i="39"/>
  <c r="AC79" i="39"/>
  <c r="AC78" i="39"/>
  <c r="AC77" i="39"/>
  <c r="AC76" i="39"/>
  <c r="AC75" i="39"/>
  <c r="AC74" i="39"/>
  <c r="AC73" i="39"/>
  <c r="AC72" i="39"/>
  <c r="AC71" i="39"/>
  <c r="AC70" i="39"/>
  <c r="AC69" i="39"/>
  <c r="AC68" i="39"/>
  <c r="AC67" i="39"/>
  <c r="AC66" i="39"/>
  <c r="AC65" i="39"/>
  <c r="AC64" i="39"/>
  <c r="AC63" i="39"/>
  <c r="AC62" i="39"/>
  <c r="AC61" i="39"/>
  <c r="AC60" i="39"/>
  <c r="AC59" i="39"/>
  <c r="AC58" i="39"/>
  <c r="AC57" i="39"/>
  <c r="AC56" i="39"/>
  <c r="AC55" i="39"/>
  <c r="AC54" i="39"/>
  <c r="AC53" i="39"/>
  <c r="AC52" i="39"/>
  <c r="AC51" i="39"/>
  <c r="AC50" i="39"/>
  <c r="AC22" i="39"/>
  <c r="AC23" i="39"/>
  <c r="AC24" i="39"/>
  <c r="AC25" i="39"/>
  <c r="AC26" i="39"/>
  <c r="AC27" i="39"/>
  <c r="AC28" i="39"/>
  <c r="AC29" i="39"/>
  <c r="AC30" i="39"/>
  <c r="AC31" i="39"/>
  <c r="AC32" i="39"/>
  <c r="AC33" i="39"/>
  <c r="AC34" i="39"/>
  <c r="AC35" i="39"/>
  <c r="AC36" i="39"/>
  <c r="AC37" i="39"/>
  <c r="AC38" i="39"/>
  <c r="AC39" i="39"/>
  <c r="AC40" i="39"/>
  <c r="AC41" i="39"/>
  <c r="AC42" i="39"/>
  <c r="AC43" i="39"/>
  <c r="AC44" i="39"/>
  <c r="AC45" i="39"/>
  <c r="AC46" i="39"/>
  <c r="AC47" i="39"/>
  <c r="AC48" i="39"/>
  <c r="AC10" i="39"/>
  <c r="AC11" i="39"/>
  <c r="AC12" i="39"/>
  <c r="AC13" i="39"/>
  <c r="AC14" i="39"/>
  <c r="AC15" i="39"/>
  <c r="AC16" i="39"/>
  <c r="AC17" i="39"/>
  <c r="AC18" i="39"/>
  <c r="AC19" i="39"/>
  <c r="AC20" i="39"/>
  <c r="AC21" i="39"/>
  <c r="AC9" i="39"/>
  <c r="AD44" i="39"/>
  <c r="AD45" i="39"/>
  <c r="AD46" i="39"/>
  <c r="AD47" i="39"/>
  <c r="AD48" i="39"/>
  <c r="AD80" i="39"/>
  <c r="AD81" i="39"/>
  <c r="AD82" i="39"/>
  <c r="AD83" i="39"/>
  <c r="AD84" i="39"/>
  <c r="AD85" i="39"/>
  <c r="AD86" i="39"/>
  <c r="AD87" i="39"/>
  <c r="AD88" i="39"/>
  <c r="AD89" i="39"/>
  <c r="D13" i="43" l="1"/>
  <c r="D15" i="43"/>
  <c r="D16" i="43"/>
  <c r="E14" i="43"/>
  <c r="F9" i="43"/>
  <c r="E8" i="43"/>
  <c r="D6" i="43"/>
  <c r="E6" i="43"/>
  <c r="D9" i="43"/>
  <c r="E9" i="43"/>
  <c r="D7" i="43"/>
  <c r="E7" i="43"/>
  <c r="D12" i="43"/>
  <c r="F7" i="43"/>
  <c r="D8" i="43"/>
  <c r="R25" i="41"/>
  <c r="E10" i="43" l="1"/>
  <c r="D10" i="43"/>
  <c r="Q70" i="39" l="1"/>
  <c r="Q75" i="39"/>
  <c r="Q77" i="39"/>
  <c r="Q78" i="39"/>
  <c r="Q79" i="39"/>
  <c r="Q80" i="39"/>
  <c r="Q81" i="39"/>
  <c r="Q82" i="39"/>
  <c r="Q83" i="39"/>
  <c r="Q84" i="39"/>
  <c r="Q85" i="39"/>
  <c r="Q86" i="39"/>
  <c r="Q87" i="39"/>
  <c r="Q88" i="39"/>
  <c r="Q89" i="39"/>
  <c r="Q39" i="39"/>
  <c r="Q41" i="39"/>
  <c r="Q42" i="39"/>
  <c r="Q43" i="39"/>
  <c r="Q44" i="39"/>
  <c r="Q45" i="39"/>
  <c r="Q46" i="39"/>
  <c r="Q47" i="39"/>
  <c r="Q48" i="39"/>
  <c r="X90" i="39" l="1"/>
  <c r="V90" i="39"/>
  <c r="X49" i="39"/>
  <c r="X8" i="39" l="1"/>
  <c r="P89" i="39" l="1"/>
  <c r="P88" i="39"/>
  <c r="P87" i="39"/>
  <c r="P86" i="39"/>
  <c r="P85" i="39"/>
  <c r="P84" i="39"/>
  <c r="P83" i="39"/>
  <c r="P82" i="39"/>
  <c r="P81" i="39"/>
  <c r="P80" i="39"/>
  <c r="P79" i="39"/>
  <c r="P78" i="39"/>
  <c r="P77" i="39"/>
  <c r="P76" i="39"/>
  <c r="Q76" i="39" s="1"/>
  <c r="S76" i="39" s="1"/>
  <c r="P75" i="39"/>
  <c r="P74" i="39"/>
  <c r="Q74" i="39" s="1"/>
  <c r="S74" i="39" s="1"/>
  <c r="P73" i="39"/>
  <c r="Q73" i="39" s="1"/>
  <c r="P72" i="39"/>
  <c r="Q72" i="39" s="1"/>
  <c r="P71" i="39"/>
  <c r="Q71" i="39" s="1"/>
  <c r="P70" i="39"/>
  <c r="P69" i="39"/>
  <c r="Q69" i="39" s="1"/>
  <c r="S69" i="39" s="1"/>
  <c r="P68" i="39"/>
  <c r="Q68" i="39" s="1"/>
  <c r="P67" i="39"/>
  <c r="Q67" i="39" s="1"/>
  <c r="S67" i="39" s="1"/>
  <c r="P66" i="39"/>
  <c r="Q66" i="39" s="1"/>
  <c r="S66" i="39" s="1"/>
  <c r="P65" i="39"/>
  <c r="Q65" i="39" s="1"/>
  <c r="S65" i="39" s="1"/>
  <c r="P64" i="39"/>
  <c r="Q64" i="39" s="1"/>
  <c r="S64" i="39" s="1"/>
  <c r="P63" i="39"/>
  <c r="Q63" i="39" s="1"/>
  <c r="S63" i="39" s="1"/>
  <c r="P60" i="39"/>
  <c r="Q60" i="39" s="1"/>
  <c r="S60" i="39" s="1"/>
  <c r="P54" i="39"/>
  <c r="P48" i="39"/>
  <c r="P47" i="39"/>
  <c r="P46" i="39"/>
  <c r="P45" i="39"/>
  <c r="P44" i="39"/>
  <c r="P43" i="39"/>
  <c r="P42" i="39"/>
  <c r="P41" i="39"/>
  <c r="P40" i="39"/>
  <c r="Q40" i="39" s="1"/>
  <c r="S40" i="39" s="1"/>
  <c r="P39" i="39"/>
  <c r="P38" i="39"/>
  <c r="Q38" i="39" s="1"/>
  <c r="S38" i="39" s="1"/>
  <c r="P37" i="39"/>
  <c r="Q37" i="39" s="1"/>
  <c r="S37" i="39" s="1"/>
  <c r="P36" i="39"/>
  <c r="Q36" i="39" s="1"/>
  <c r="S36" i="39" s="1"/>
  <c r="P35" i="39"/>
  <c r="Q35" i="39" s="1"/>
  <c r="S35" i="39" s="1"/>
  <c r="P34" i="39"/>
  <c r="Q34" i="39" s="1"/>
  <c r="P33" i="39"/>
  <c r="Q33" i="39" s="1"/>
  <c r="S33" i="39" s="1"/>
  <c r="P32" i="39"/>
  <c r="Q32" i="39" s="1"/>
  <c r="S32" i="39" s="1"/>
  <c r="P31" i="39"/>
  <c r="Q31" i="39" s="1"/>
  <c r="S31" i="39" s="1"/>
  <c r="P30" i="39"/>
  <c r="Q30" i="39" s="1"/>
  <c r="S30" i="39" s="1"/>
  <c r="P29" i="39"/>
  <c r="Q29" i="39" s="1"/>
  <c r="S29" i="39" s="1"/>
  <c r="P17" i="39"/>
  <c r="Q17" i="39" s="1"/>
  <c r="P20" i="39"/>
  <c r="Q20" i="39" s="1"/>
  <c r="P21" i="39"/>
  <c r="P22" i="39"/>
  <c r="Q22" i="39" s="1"/>
  <c r="S22" i="39" s="1"/>
  <c r="P23" i="39"/>
  <c r="P24" i="39"/>
  <c r="Q24" i="39" s="1"/>
  <c r="P25" i="39"/>
  <c r="Q25" i="39" s="1"/>
  <c r="S25" i="39" s="1"/>
  <c r="P26" i="39"/>
  <c r="Q26" i="39" s="1"/>
  <c r="S26" i="39" s="1"/>
  <c r="P27" i="39"/>
  <c r="Q27" i="39" s="1"/>
  <c r="S27" i="39" s="1"/>
  <c r="P28" i="39"/>
  <c r="Q28" i="39" s="1"/>
  <c r="S28" i="39" s="1"/>
  <c r="S89" i="39"/>
  <c r="S88" i="39"/>
  <c r="S87" i="39"/>
  <c r="S86" i="39"/>
  <c r="S85" i="39"/>
  <c r="S84" i="39"/>
  <c r="S83" i="39"/>
  <c r="S82" i="39"/>
  <c r="S81" i="39"/>
  <c r="S80" i="39"/>
  <c r="S79" i="39"/>
  <c r="S78" i="39"/>
  <c r="S77" i="39"/>
  <c r="S73" i="39"/>
  <c r="S72" i="39"/>
  <c r="S71" i="39"/>
  <c r="S70" i="39"/>
  <c r="S68" i="39"/>
  <c r="S48" i="39"/>
  <c r="S47" i="39"/>
  <c r="S46" i="39"/>
  <c r="S45" i="39"/>
  <c r="S44" i="39"/>
  <c r="S43" i="39"/>
  <c r="S42" i="39"/>
  <c r="S41" i="39"/>
  <c r="S39" i="39"/>
  <c r="S34" i="39"/>
  <c r="Q54" i="39" l="1"/>
  <c r="S54" i="39" s="1"/>
  <c r="Q23" i="39"/>
  <c r="S23" i="39" s="1"/>
  <c r="Q21" i="39"/>
  <c r="S21" i="39" s="1"/>
  <c r="S20" i="39"/>
  <c r="S17" i="39"/>
  <c r="L67" i="41" l="1"/>
  <c r="M67" i="41"/>
  <c r="N67" i="41"/>
  <c r="O67" i="41"/>
  <c r="P67" i="41"/>
  <c r="K8" i="41" l="1"/>
  <c r="J8" i="41"/>
  <c r="H7" i="41"/>
  <c r="H6" i="41"/>
  <c r="D6" i="41"/>
  <c r="H4" i="41"/>
  <c r="H54" i="41" s="1"/>
  <c r="D4" i="41"/>
  <c r="Y89" i="39"/>
  <c r="Y88" i="39"/>
  <c r="Y87" i="39"/>
  <c r="Y86" i="39"/>
  <c r="Y85" i="39"/>
  <c r="Y84" i="39"/>
  <c r="Y83" i="39"/>
  <c r="Y82" i="39"/>
  <c r="Y81" i="39"/>
  <c r="Y80" i="39"/>
  <c r="Y79" i="39"/>
  <c r="Y78" i="39"/>
  <c r="E13" i="43" s="1"/>
  <c r="Y77" i="39"/>
  <c r="D14" i="43" s="1"/>
  <c r="D17" i="43" s="1"/>
  <c r="D23" i="43" s="1"/>
  <c r="Y76" i="39"/>
  <c r="Y74" i="39"/>
  <c r="Y73" i="39"/>
  <c r="Y72" i="39"/>
  <c r="Y71" i="39"/>
  <c r="Y70" i="39"/>
  <c r="Y69" i="39"/>
  <c r="Y68" i="39"/>
  <c r="Y67" i="39"/>
  <c r="Y66" i="39"/>
  <c r="Y65" i="39"/>
  <c r="Y64" i="39"/>
  <c r="Y63" i="39"/>
  <c r="Y48" i="39"/>
  <c r="Y47" i="39"/>
  <c r="Y46" i="39"/>
  <c r="Y45" i="39"/>
  <c r="Y44" i="39"/>
  <c r="Y43" i="39"/>
  <c r="Y42" i="39"/>
  <c r="Y41" i="39"/>
  <c r="Y40" i="39"/>
  <c r="Y39" i="39"/>
  <c r="Y38" i="39"/>
  <c r="Y37" i="39"/>
  <c r="Y36" i="39"/>
  <c r="Y35" i="39"/>
  <c r="Y34" i="39"/>
  <c r="E12" i="43" s="1"/>
  <c r="Y33" i="39"/>
  <c r="Y32" i="39"/>
  <c r="Y31" i="39"/>
  <c r="Y30" i="39"/>
  <c r="Y29" i="39"/>
  <c r="Y25" i="39"/>
  <c r="Y26" i="39"/>
  <c r="Y27" i="39"/>
  <c r="Y28" i="39"/>
  <c r="E16" i="43" l="1"/>
  <c r="F16" i="43"/>
  <c r="O75" i="41"/>
  <c r="N75" i="41"/>
  <c r="M75" i="41"/>
  <c r="L75" i="41"/>
  <c r="P73" i="41"/>
  <c r="P72" i="41"/>
  <c r="P61" i="41"/>
  <c r="P60" i="41"/>
  <c r="P59" i="41"/>
  <c r="O58" i="41"/>
  <c r="N58" i="41"/>
  <c r="M58" i="41"/>
  <c r="L58" i="41"/>
  <c r="P57" i="41"/>
  <c r="P56" i="41"/>
  <c r="P55" i="41"/>
  <c r="P54" i="41"/>
  <c r="O53" i="41"/>
  <c r="O62" i="41" s="1"/>
  <c r="N53" i="41"/>
  <c r="M53" i="41"/>
  <c r="M62" i="41" s="1"/>
  <c r="L53" i="41"/>
  <c r="L62" i="41" s="1"/>
  <c r="O52" i="41"/>
  <c r="N52" i="41"/>
  <c r="M52" i="41"/>
  <c r="L52" i="41"/>
  <c r="P47" i="41"/>
  <c r="P46" i="41"/>
  <c r="P45" i="41"/>
  <c r="K45" i="41"/>
  <c r="P44" i="41"/>
  <c r="J44" i="41"/>
  <c r="P43" i="41"/>
  <c r="P42" i="41"/>
  <c r="P41" i="41"/>
  <c r="P40" i="41"/>
  <c r="P39" i="41"/>
  <c r="O38" i="41"/>
  <c r="N38" i="41"/>
  <c r="M38" i="41"/>
  <c r="L38" i="41"/>
  <c r="I38" i="41"/>
  <c r="O31" i="41"/>
  <c r="N31" i="41"/>
  <c r="M31" i="41"/>
  <c r="L31" i="41"/>
  <c r="G31" i="41"/>
  <c r="P30" i="41"/>
  <c r="P29" i="41"/>
  <c r="P28" i="41"/>
  <c r="H28" i="41"/>
  <c r="U27" i="41"/>
  <c r="T27" i="41"/>
  <c r="S27" i="41"/>
  <c r="R27" i="41"/>
  <c r="O26" i="41"/>
  <c r="N26" i="41"/>
  <c r="M26" i="41"/>
  <c r="L26" i="41"/>
  <c r="P25" i="41"/>
  <c r="P24" i="41"/>
  <c r="P23" i="41"/>
  <c r="P22" i="41"/>
  <c r="P21" i="41"/>
  <c r="O19" i="41"/>
  <c r="N19" i="41"/>
  <c r="M19" i="41"/>
  <c r="L19" i="41"/>
  <c r="P18" i="41"/>
  <c r="P17" i="41"/>
  <c r="P16" i="41"/>
  <c r="P15" i="41"/>
  <c r="F39" i="40"/>
  <c r="I49" i="47" s="1"/>
  <c r="G28" i="40"/>
  <c r="L27" i="40"/>
  <c r="I27" i="40"/>
  <c r="L26" i="40"/>
  <c r="I26" i="40"/>
  <c r="L25" i="40"/>
  <c r="I25" i="40"/>
  <c r="L24" i="40"/>
  <c r="I24" i="40"/>
  <c r="L23" i="40"/>
  <c r="I23" i="40"/>
  <c r="P33" i="41" l="1"/>
  <c r="G16" i="40"/>
  <c r="H16" i="40" s="1"/>
  <c r="E8" i="47"/>
  <c r="C21" i="45"/>
  <c r="I57" i="47"/>
  <c r="I28" i="41"/>
  <c r="I28" i="47" s="1"/>
  <c r="D2" i="43"/>
  <c r="E7" i="41"/>
  <c r="D3" i="43"/>
  <c r="H60" i="41"/>
  <c r="H59" i="41"/>
  <c r="H57" i="41"/>
  <c r="H56" i="41"/>
  <c r="H55" i="41"/>
  <c r="H61" i="41"/>
  <c r="L13" i="41"/>
  <c r="H28" i="40"/>
  <c r="K73" i="41"/>
  <c r="I73" i="41" s="1"/>
  <c r="J45" i="41"/>
  <c r="E8" i="41"/>
  <c r="P58" i="41"/>
  <c r="P75" i="41"/>
  <c r="O13" i="41"/>
  <c r="M13" i="41"/>
  <c r="P38" i="41"/>
  <c r="N62" i="41"/>
  <c r="P19" i="41"/>
  <c r="N13" i="41"/>
  <c r="P26" i="41"/>
  <c r="L49" i="41"/>
  <c r="L65" i="41" s="1"/>
  <c r="L78" i="41" s="1"/>
  <c r="P31" i="41"/>
  <c r="M49" i="41"/>
  <c r="M65" i="41" s="1"/>
  <c r="M78" i="41" s="1"/>
  <c r="P53" i="41"/>
  <c r="N49" i="41"/>
  <c r="O49" i="41"/>
  <c r="O65" i="41" s="1"/>
  <c r="O78" i="41" s="1"/>
  <c r="S75" i="39" l="1"/>
  <c r="I48" i="41"/>
  <c r="K35" i="41"/>
  <c r="J35" i="41" s="1"/>
  <c r="I36" i="41"/>
  <c r="K34" i="41"/>
  <c r="K43" i="41"/>
  <c r="J43" i="41" s="1"/>
  <c r="P9" i="39"/>
  <c r="Q9" i="39" s="1"/>
  <c r="H20" i="43"/>
  <c r="I19" i="43"/>
  <c r="H21" i="43"/>
  <c r="H19" i="43"/>
  <c r="I20" i="43"/>
  <c r="I21" i="43"/>
  <c r="I16" i="43"/>
  <c r="H16" i="43"/>
  <c r="I9" i="43"/>
  <c r="H9" i="43"/>
  <c r="I7" i="43"/>
  <c r="H7" i="43"/>
  <c r="R49" i="39"/>
  <c r="S24" i="39"/>
  <c r="K28" i="41"/>
  <c r="J28" i="41" s="1"/>
  <c r="K39" i="41"/>
  <c r="K47" i="41"/>
  <c r="J72" i="41"/>
  <c r="J75" i="41" s="1"/>
  <c r="K40" i="41"/>
  <c r="J40" i="41" s="1"/>
  <c r="K28" i="40"/>
  <c r="K46" i="41"/>
  <c r="J46" i="41" s="1"/>
  <c r="K42" i="41"/>
  <c r="I54" i="41"/>
  <c r="K41" i="41"/>
  <c r="J41" i="41" s="1"/>
  <c r="N65" i="41"/>
  <c r="N78" i="41" s="1"/>
  <c r="P49" i="41"/>
  <c r="P62" i="41"/>
  <c r="P13" i="41"/>
  <c r="I48" i="47" l="1"/>
  <c r="I51" i="47" s="1"/>
  <c r="C12" i="45"/>
  <c r="C8" i="45" s="1"/>
  <c r="K16" i="41"/>
  <c r="K18" i="41"/>
  <c r="R90" i="39"/>
  <c r="R91" i="39" s="1"/>
  <c r="J6" i="44"/>
  <c r="D24" i="45"/>
  <c r="K33" i="41"/>
  <c r="J34" i="41"/>
  <c r="J33" i="41" s="1"/>
  <c r="P10" i="39"/>
  <c r="Q10" i="39" s="1"/>
  <c r="S10" i="39" s="1"/>
  <c r="S9" i="39"/>
  <c r="T9" i="39" s="1"/>
  <c r="I22" i="43"/>
  <c r="G20" i="43"/>
  <c r="G19" i="43"/>
  <c r="H22" i="43"/>
  <c r="G21" i="43"/>
  <c r="G16" i="43"/>
  <c r="J18" i="41"/>
  <c r="G9" i="43"/>
  <c r="J16" i="41"/>
  <c r="G7" i="43"/>
  <c r="P65" i="41"/>
  <c r="P78" i="41" s="1"/>
  <c r="J39" i="41"/>
  <c r="J47" i="41"/>
  <c r="J42" i="41"/>
  <c r="K38" i="41"/>
  <c r="E21" i="45" s="1"/>
  <c r="K54" i="41"/>
  <c r="K72" i="41"/>
  <c r="I38" i="47" l="1"/>
  <c r="I39" i="47"/>
  <c r="Y9" i="39"/>
  <c r="I40" i="47"/>
  <c r="G16" i="41"/>
  <c r="Y75" i="39"/>
  <c r="G18" i="41"/>
  <c r="I18" i="41" s="1"/>
  <c r="I18" i="47" s="1"/>
  <c r="G25" i="41"/>
  <c r="F15" i="43"/>
  <c r="H15" i="43" s="1"/>
  <c r="E15" i="43"/>
  <c r="E17" i="43" s="1"/>
  <c r="E23" i="43" s="1"/>
  <c r="I72" i="41"/>
  <c r="I75" i="41" s="1"/>
  <c r="C24" i="45" s="1"/>
  <c r="K48" i="41"/>
  <c r="J36" i="41"/>
  <c r="K36" i="41"/>
  <c r="P11" i="39"/>
  <c r="Q11" i="39" s="1"/>
  <c r="G22" i="43"/>
  <c r="K75" i="41"/>
  <c r="E24" i="45" s="1"/>
  <c r="J54" i="41"/>
  <c r="J38" i="41"/>
  <c r="D21" i="45" s="1"/>
  <c r="I41" i="47" l="1"/>
  <c r="I15" i="43"/>
  <c r="I6" i="44"/>
  <c r="J48" i="41"/>
  <c r="S11" i="39"/>
  <c r="T11" i="39"/>
  <c r="AE13" i="39"/>
  <c r="AD13" i="39" s="1"/>
  <c r="P12" i="39"/>
  <c r="Q12" i="39" s="1"/>
  <c r="S12" i="39" s="1"/>
  <c r="K76" i="41"/>
  <c r="K6" i="44"/>
  <c r="Q38" i="41"/>
  <c r="AE85" i="39"/>
  <c r="T85" i="39"/>
  <c r="AE84" i="39"/>
  <c r="T84" i="39"/>
  <c r="AE83" i="39"/>
  <c r="T83" i="39"/>
  <c r="AE82" i="39"/>
  <c r="T82" i="39"/>
  <c r="AE81" i="39"/>
  <c r="T81" i="39"/>
  <c r="AE80" i="39"/>
  <c r="T80" i="39"/>
  <c r="AE79" i="39"/>
  <c r="AD79" i="39" s="1"/>
  <c r="T79" i="39"/>
  <c r="AE78" i="39"/>
  <c r="AD78" i="39" s="1"/>
  <c r="T78" i="39"/>
  <c r="AE77" i="39"/>
  <c r="AD77" i="39" s="1"/>
  <c r="T77" i="39"/>
  <c r="AE76" i="39"/>
  <c r="AD76" i="39" s="1"/>
  <c r="T76" i="39"/>
  <c r="AE75" i="39"/>
  <c r="AD75" i="39" s="1"/>
  <c r="T75" i="39"/>
  <c r="AE74" i="39"/>
  <c r="AD74" i="39" s="1"/>
  <c r="T74" i="39"/>
  <c r="AE73" i="39"/>
  <c r="AD73" i="39" s="1"/>
  <c r="T73" i="39"/>
  <c r="T54" i="39"/>
  <c r="Y54" i="39" s="1"/>
  <c r="T60" i="39"/>
  <c r="Y60" i="39" s="1"/>
  <c r="T63" i="39"/>
  <c r="AE63" i="39"/>
  <c r="AD63" i="39" s="1"/>
  <c r="AE35" i="39"/>
  <c r="AD35" i="39" s="1"/>
  <c r="T35" i="39"/>
  <c r="AE34" i="39"/>
  <c r="AD34" i="39" s="1"/>
  <c r="T34" i="39"/>
  <c r="AE38" i="39"/>
  <c r="AD38" i="39" s="1"/>
  <c r="J5" i="39" s="1"/>
  <c r="T38" i="39"/>
  <c r="AE37" i="39"/>
  <c r="AD37" i="39" s="1"/>
  <c r="T37" i="39"/>
  <c r="AE36" i="39"/>
  <c r="AD36" i="39" s="1"/>
  <c r="T36" i="39"/>
  <c r="AE33" i="39"/>
  <c r="AD33" i="39" s="1"/>
  <c r="L5" i="39" s="1"/>
  <c r="T33" i="39"/>
  <c r="AE32" i="39"/>
  <c r="AD32" i="39" s="1"/>
  <c r="T32" i="39"/>
  <c r="T17" i="39"/>
  <c r="AE31" i="39"/>
  <c r="AD31" i="39" s="1"/>
  <c r="AE39" i="39"/>
  <c r="AD39" i="39" s="1"/>
  <c r="AE40" i="39"/>
  <c r="AD40" i="39" s="1"/>
  <c r="AE41" i="39"/>
  <c r="AD41" i="39" s="1"/>
  <c r="AE42" i="39"/>
  <c r="AD42" i="39" s="1"/>
  <c r="T31" i="39"/>
  <c r="T39" i="39"/>
  <c r="T40" i="39"/>
  <c r="T41" i="39"/>
  <c r="T42" i="39"/>
  <c r="T43" i="39"/>
  <c r="T44" i="39"/>
  <c r="AE20" i="39"/>
  <c r="AD20" i="39" s="1"/>
  <c r="AE21" i="39"/>
  <c r="AD21" i="39" s="1"/>
  <c r="AE22" i="39"/>
  <c r="AD22" i="39" s="1"/>
  <c r="AE23" i="39"/>
  <c r="AD23" i="39" s="1"/>
  <c r="AE24" i="39"/>
  <c r="AD24" i="39" s="1"/>
  <c r="T24" i="39"/>
  <c r="T23" i="39"/>
  <c r="T22" i="39"/>
  <c r="T21" i="39"/>
  <c r="T20" i="39"/>
  <c r="G15" i="43" l="1"/>
  <c r="C9" i="45"/>
  <c r="C10" i="45"/>
  <c r="P13" i="39"/>
  <c r="Q13" i="39" s="1"/>
  <c r="Y24" i="39"/>
  <c r="Y20" i="39"/>
  <c r="Y17" i="39"/>
  <c r="Y21" i="39"/>
  <c r="Y22" i="39"/>
  <c r="Y23" i="39"/>
  <c r="G24" i="41" l="1"/>
  <c r="C7" i="45"/>
  <c r="Y11" i="39"/>
  <c r="S13" i="39"/>
  <c r="T13" i="39"/>
  <c r="P14" i="39"/>
  <c r="Q14" i="39" s="1"/>
  <c r="AE14" i="39"/>
  <c r="AD14" i="39" s="1"/>
  <c r="F14" i="43"/>
  <c r="V49" i="39"/>
  <c r="V8" i="39" s="1"/>
  <c r="H24" i="41" l="1"/>
  <c r="S14" i="39"/>
  <c r="P15" i="39"/>
  <c r="Q15" i="39" s="1"/>
  <c r="AE15" i="39"/>
  <c r="AD15" i="39" s="1"/>
  <c r="H14" i="43"/>
  <c r="I14" i="43"/>
  <c r="I16" i="41"/>
  <c r="I16" i="47" s="1"/>
  <c r="T14" i="39" l="1"/>
  <c r="I24" i="41"/>
  <c r="I24" i="47" s="1"/>
  <c r="J24" i="41"/>
  <c r="K24" i="41"/>
  <c r="Y13" i="39"/>
  <c r="S15" i="39"/>
  <c r="T15" i="39"/>
  <c r="P16" i="39"/>
  <c r="Q16" i="39" s="1"/>
  <c r="AE16" i="39"/>
  <c r="AD16" i="39" s="1"/>
  <c r="Y14" i="39"/>
  <c r="G14" i="43"/>
  <c r="AE72" i="39"/>
  <c r="AD72" i="39" s="1"/>
  <c r="AE86" i="39"/>
  <c r="AE87" i="39"/>
  <c r="G23" i="41" l="1"/>
  <c r="S16" i="39"/>
  <c r="T16" i="39"/>
  <c r="AE17" i="39"/>
  <c r="AD17" i="39" s="1"/>
  <c r="T89" i="39"/>
  <c r="T88" i="39"/>
  <c r="T87" i="39"/>
  <c r="T86" i="39"/>
  <c r="T69" i="39"/>
  <c r="T68" i="39"/>
  <c r="T67" i="39"/>
  <c r="T66" i="39"/>
  <c r="T65" i="39"/>
  <c r="AE69" i="39"/>
  <c r="AD69" i="39" s="1"/>
  <c r="AE68" i="39"/>
  <c r="AD68" i="39" s="1"/>
  <c r="AE67" i="39"/>
  <c r="AD67" i="39" s="1"/>
  <c r="AE66" i="39"/>
  <c r="AD66" i="39" s="1"/>
  <c r="AE65" i="39"/>
  <c r="AD65" i="39" s="1"/>
  <c r="AE64" i="39"/>
  <c r="AD64" i="39" s="1"/>
  <c r="AE89" i="39"/>
  <c r="AE88" i="39"/>
  <c r="AE71" i="39"/>
  <c r="AD71" i="39" s="1"/>
  <c r="AE70" i="39"/>
  <c r="AD70" i="39" s="1"/>
  <c r="R8" i="39"/>
  <c r="AE48" i="39"/>
  <c r="T48" i="39"/>
  <c r="AE47" i="39"/>
  <c r="T47" i="39"/>
  <c r="AE46" i="39"/>
  <c r="T46" i="39"/>
  <c r="AE45" i="39"/>
  <c r="T45" i="39"/>
  <c r="AE44" i="39"/>
  <c r="AE43" i="39"/>
  <c r="AD43" i="39" s="1"/>
  <c r="AE28" i="39"/>
  <c r="AD28" i="39" s="1"/>
  <c r="T28" i="39"/>
  <c r="AE27" i="39"/>
  <c r="AD27" i="39" s="1"/>
  <c r="T27" i="39"/>
  <c r="AE26" i="39"/>
  <c r="AD26" i="39" s="1"/>
  <c r="T26" i="39"/>
  <c r="AE25" i="39"/>
  <c r="AD25" i="39" s="1"/>
  <c r="T25" i="39"/>
  <c r="AE12" i="39"/>
  <c r="AD12" i="39" s="1"/>
  <c r="T12" i="39"/>
  <c r="AE11" i="39"/>
  <c r="AD11" i="39" s="1"/>
  <c r="P18" i="39" l="1"/>
  <c r="Q18" i="39" s="1"/>
  <c r="AE18" i="39"/>
  <c r="AD18" i="39" s="1"/>
  <c r="Y15" i="39"/>
  <c r="Y16" i="39"/>
  <c r="Y12" i="39"/>
  <c r="H23" i="41"/>
  <c r="T72" i="39"/>
  <c r="T71" i="39"/>
  <c r="T70" i="39"/>
  <c r="S18" i="39" l="1"/>
  <c r="T18" i="39"/>
  <c r="P19" i="39"/>
  <c r="Q19" i="39" s="1"/>
  <c r="AE19" i="39"/>
  <c r="AD19" i="39" s="1"/>
  <c r="J23" i="41"/>
  <c r="K23" i="41"/>
  <c r="I23" i="41"/>
  <c r="I23" i="47" s="1"/>
  <c r="T30" i="39"/>
  <c r="T64" i="39"/>
  <c r="AE30" i="39"/>
  <c r="AD30" i="39" s="1"/>
  <c r="AE29" i="39"/>
  <c r="AD29" i="39" s="1"/>
  <c r="L4" i="39" s="1"/>
  <c r="AE9" i="39"/>
  <c r="AD9" i="39" s="1"/>
  <c r="AE10" i="39"/>
  <c r="AD10" i="39" s="1"/>
  <c r="L3" i="39" l="1"/>
  <c r="J3" i="39"/>
  <c r="J4" i="39"/>
  <c r="S19" i="39"/>
  <c r="T19" i="39"/>
  <c r="Q49" i="39"/>
  <c r="P50" i="39"/>
  <c r="Q50" i="39" s="1"/>
  <c r="AE50" i="39"/>
  <c r="AD50" i="39" s="1"/>
  <c r="AD49" i="39"/>
  <c r="AE49" i="39"/>
  <c r="T29" i="39"/>
  <c r="S49" i="39" l="1"/>
  <c r="Y18" i="39"/>
  <c r="S50" i="39"/>
  <c r="P51" i="39"/>
  <c r="Q51" i="39" s="1"/>
  <c r="S51" i="39" s="1"/>
  <c r="AE51" i="39"/>
  <c r="AD51" i="39" s="1"/>
  <c r="Y19" i="39"/>
  <c r="W49" i="39"/>
  <c r="H49" i="39"/>
  <c r="T10" i="39"/>
  <c r="T50" i="39"/>
  <c r="P52" i="39" l="1"/>
  <c r="Q52" i="39" s="1"/>
  <c r="AE52" i="39"/>
  <c r="AD52" i="39" s="1"/>
  <c r="Y50" i="39"/>
  <c r="F13" i="43" s="1"/>
  <c r="T51" i="39"/>
  <c r="Y51" i="39" s="1"/>
  <c r="F12" i="43" s="1"/>
  <c r="H12" i="43" s="1"/>
  <c r="T49" i="39"/>
  <c r="Y10" i="39"/>
  <c r="Y49" i="39" s="1"/>
  <c r="I12" i="43" l="1"/>
  <c r="S52" i="39"/>
  <c r="T52" i="39"/>
  <c r="F17" i="43"/>
  <c r="P55" i="39"/>
  <c r="Q55" i="39" s="1"/>
  <c r="AE55" i="39"/>
  <c r="AE54" i="39"/>
  <c r="P53" i="39"/>
  <c r="Q53" i="39" s="1"/>
  <c r="AE53" i="39"/>
  <c r="P59" i="39"/>
  <c r="Q59" i="39" s="1"/>
  <c r="AE59" i="39"/>
  <c r="AD59" i="39" s="1"/>
  <c r="H13" i="43"/>
  <c r="H17" i="43" s="1"/>
  <c r="I13" i="43"/>
  <c r="I60" i="41"/>
  <c r="I56" i="41"/>
  <c r="I59" i="41"/>
  <c r="U49" i="39"/>
  <c r="G12" i="43" l="1"/>
  <c r="G21" i="41" s="1"/>
  <c r="I17" i="43"/>
  <c r="AD55" i="39"/>
  <c r="AD54" i="39"/>
  <c r="S53" i="39"/>
  <c r="T53" i="39"/>
  <c r="P58" i="39"/>
  <c r="Q58" i="39" s="1"/>
  <c r="AE58" i="39"/>
  <c r="AD58" i="39" s="1"/>
  <c r="AE60" i="39"/>
  <c r="AD60" i="39" s="1"/>
  <c r="AD53" i="39"/>
  <c r="P56" i="39"/>
  <c r="Q56" i="39" s="1"/>
  <c r="AE56" i="39"/>
  <c r="AD56" i="39" s="1"/>
  <c r="P57" i="39"/>
  <c r="Q57" i="39" s="1"/>
  <c r="AE57" i="39"/>
  <c r="AD57" i="39" s="1"/>
  <c r="S59" i="39"/>
  <c r="T59" i="39"/>
  <c r="S55" i="39"/>
  <c r="T55" i="39"/>
  <c r="G13" i="43"/>
  <c r="I57" i="41"/>
  <c r="K57" i="41" s="1"/>
  <c r="I55" i="41"/>
  <c r="K55" i="41" s="1"/>
  <c r="I61" i="41"/>
  <c r="I58" i="41" s="1"/>
  <c r="H25" i="41"/>
  <c r="K56" i="41"/>
  <c r="J56" i="41" s="1"/>
  <c r="K60" i="41"/>
  <c r="J60" i="41" s="1"/>
  <c r="K59" i="41"/>
  <c r="G22" i="41" l="1"/>
  <c r="H22" i="41" s="1"/>
  <c r="I22" i="41" s="1"/>
  <c r="I22" i="47" s="1"/>
  <c r="H21" i="41"/>
  <c r="I21" i="41" s="1"/>
  <c r="I21" i="47" s="1"/>
  <c r="Y53" i="39"/>
  <c r="Y59" i="39"/>
  <c r="Y55" i="39"/>
  <c r="K5" i="39"/>
  <c r="K4" i="39"/>
  <c r="K3" i="39"/>
  <c r="P61" i="39"/>
  <c r="Q61" i="39" s="1"/>
  <c r="AE61" i="39"/>
  <c r="AD61" i="39" s="1"/>
  <c r="S57" i="39"/>
  <c r="Y57" i="39" s="1"/>
  <c r="T57" i="39"/>
  <c r="S58" i="39"/>
  <c r="T58" i="39"/>
  <c r="Y58" i="39" s="1"/>
  <c r="S56" i="39"/>
  <c r="T56" i="39"/>
  <c r="Y52" i="39"/>
  <c r="G17" i="43"/>
  <c r="I53" i="41"/>
  <c r="I62" i="41" s="1"/>
  <c r="C22" i="45" s="1"/>
  <c r="K61" i="41"/>
  <c r="J61" i="41" s="1"/>
  <c r="J25" i="41"/>
  <c r="K25" i="41"/>
  <c r="I25" i="41"/>
  <c r="I25" i="47" s="1"/>
  <c r="S25" i="41"/>
  <c r="J59" i="41"/>
  <c r="J55" i="41"/>
  <c r="K53" i="41"/>
  <c r="J57" i="41"/>
  <c r="G26" i="41" l="1"/>
  <c r="J22" i="41"/>
  <c r="K22" i="41"/>
  <c r="K21" i="41"/>
  <c r="J21" i="41"/>
  <c r="S61" i="39"/>
  <c r="U90" i="39" s="1"/>
  <c r="U8" i="39" s="1"/>
  <c r="T61" i="39"/>
  <c r="Y56" i="39"/>
  <c r="P62" i="39"/>
  <c r="Q62" i="39" s="1"/>
  <c r="AE62" i="39"/>
  <c r="I26" i="41"/>
  <c r="K58" i="41"/>
  <c r="K62" i="41" s="1"/>
  <c r="J58" i="41"/>
  <c r="I63" i="41"/>
  <c r="J53" i="41"/>
  <c r="K26" i="41" l="1"/>
  <c r="Q26" i="41" s="1"/>
  <c r="H26" i="41"/>
  <c r="I26" i="47"/>
  <c r="Q62" i="41"/>
  <c r="E22" i="45"/>
  <c r="AD62" i="39"/>
  <c r="AE90" i="39"/>
  <c r="S62" i="39"/>
  <c r="T62" i="39"/>
  <c r="T90" i="39" s="1"/>
  <c r="Q90" i="39"/>
  <c r="Y61" i="39"/>
  <c r="F6" i="43"/>
  <c r="J26" i="41"/>
  <c r="J62" i="41"/>
  <c r="K63" i="41"/>
  <c r="J63" i="41" l="1"/>
  <c r="D22" i="45"/>
  <c r="T91" i="39"/>
  <c r="T8" i="39"/>
  <c r="I6" i="43"/>
  <c r="H6" i="43"/>
  <c r="Q8" i="39"/>
  <c r="Q91" i="39"/>
  <c r="Y62" i="39"/>
  <c r="Y90" i="39" s="1"/>
  <c r="Y8" i="39" s="1"/>
  <c r="F8" i="43"/>
  <c r="W90" i="39"/>
  <c r="I5" i="39"/>
  <c r="I3" i="39"/>
  <c r="H3" i="39" s="1"/>
  <c r="AD90" i="39"/>
  <c r="H90" i="39" s="1"/>
  <c r="H91" i="39" s="1"/>
  <c r="I4" i="39"/>
  <c r="S90" i="39"/>
  <c r="Q25" i="41"/>
  <c r="H4" i="39" l="1"/>
  <c r="H5" i="39"/>
  <c r="F10" i="43"/>
  <c r="F23" i="43" s="1"/>
  <c r="I8" i="43"/>
  <c r="H8" i="43"/>
  <c r="J15" i="41"/>
  <c r="G6" i="43"/>
  <c r="W8" i="39"/>
  <c r="R14" i="41"/>
  <c r="S91" i="39"/>
  <c r="S8" i="39"/>
  <c r="K15" i="41"/>
  <c r="H6" i="39" l="1"/>
  <c r="K17" i="41"/>
  <c r="K19" i="41" s="1"/>
  <c r="I10" i="43"/>
  <c r="I23" i="43" s="1"/>
  <c r="E27" i="45" s="1"/>
  <c r="E28" i="45" s="1"/>
  <c r="L21" i="40"/>
  <c r="I21" i="40"/>
  <c r="I20" i="40"/>
  <c r="L20" i="40"/>
  <c r="G15" i="41"/>
  <c r="L19" i="40"/>
  <c r="I19" i="40"/>
  <c r="I18" i="40"/>
  <c r="L18" i="40"/>
  <c r="D28" i="40"/>
  <c r="L28" i="40" s="1"/>
  <c r="I28" i="40"/>
  <c r="H10" i="43"/>
  <c r="H23" i="43" s="1"/>
  <c r="D27" i="45" s="1"/>
  <c r="D28" i="45" s="1"/>
  <c r="J17" i="41"/>
  <c r="J19" i="41" s="1"/>
  <c r="G8" i="43"/>
  <c r="L22" i="40"/>
  <c r="I22" i="40"/>
  <c r="G17" i="41" l="1"/>
  <c r="G19" i="41" s="1"/>
  <c r="Q19" i="41"/>
  <c r="J11" i="44"/>
  <c r="K11" i="44"/>
  <c r="G10" i="43"/>
  <c r="G23" i="43" s="1"/>
  <c r="C27" i="45" s="1"/>
  <c r="C28" i="45" s="1"/>
  <c r="I15" i="41"/>
  <c r="I15" i="47" s="1"/>
  <c r="I17" i="41" l="1"/>
  <c r="I11" i="44"/>
  <c r="G13" i="41"/>
  <c r="I19" i="41" l="1"/>
  <c r="H19" i="41" s="1"/>
  <c r="H29" i="41" s="1"/>
  <c r="I29" i="41" s="1"/>
  <c r="I29" i="47" s="1"/>
  <c r="I17" i="47"/>
  <c r="I19" i="47" s="1"/>
  <c r="H30" i="41" l="1"/>
  <c r="I30" i="41" s="1"/>
  <c r="K30" i="41" s="1"/>
  <c r="J30" i="41" s="1"/>
  <c r="K29" i="41"/>
  <c r="I31" i="41" l="1"/>
  <c r="H31" i="41" s="1"/>
  <c r="I30" i="47"/>
  <c r="I31" i="47" s="1"/>
  <c r="J29" i="41"/>
  <c r="J31" i="41" s="1"/>
  <c r="K31" i="41"/>
  <c r="K13" i="41" s="1"/>
  <c r="K37" i="41" s="1"/>
  <c r="I13" i="41" l="1"/>
  <c r="C5" i="45" s="1"/>
  <c r="H13" i="41"/>
  <c r="C13" i="45" s="1"/>
  <c r="I32" i="41"/>
  <c r="I13" i="47"/>
  <c r="I35" i="47" s="1"/>
  <c r="I43" i="47" s="1"/>
  <c r="I55" i="47" s="1"/>
  <c r="E20" i="45"/>
  <c r="E23" i="45" s="1"/>
  <c r="K49" i="41"/>
  <c r="Q31" i="41"/>
  <c r="K32" i="41"/>
  <c r="J32" i="41"/>
  <c r="J13" i="41"/>
  <c r="I37" i="41" l="1"/>
  <c r="I49" i="41"/>
  <c r="I50" i="41" s="1"/>
  <c r="C20" i="45"/>
  <c r="C23" i="45" s="1"/>
  <c r="C26" i="45" s="1"/>
  <c r="I59" i="47"/>
  <c r="I8" i="44"/>
  <c r="I9" i="44" s="1"/>
  <c r="E26" i="45"/>
  <c r="E25" i="45"/>
  <c r="D20" i="45"/>
  <c r="D23" i="45" s="1"/>
  <c r="J37" i="41"/>
  <c r="J49" i="41"/>
  <c r="J65" i="41" s="1"/>
  <c r="J8" i="44"/>
  <c r="J9" i="44" s="1"/>
  <c r="Q49" i="41"/>
  <c r="C4" i="45"/>
  <c r="K8" i="44"/>
  <c r="K9" i="44" s="1"/>
  <c r="Q13" i="41"/>
  <c r="K65" i="41"/>
  <c r="S62" i="41"/>
  <c r="I65" i="41" l="1"/>
  <c r="I66" i="41" s="1"/>
  <c r="C25" i="45"/>
  <c r="D26" i="45"/>
  <c r="D25" i="45"/>
  <c r="J50" i="41"/>
  <c r="C11" i="45"/>
  <c r="C14" i="45" s="1"/>
  <c r="K50" i="41"/>
  <c r="J66" i="41"/>
  <c r="J67" i="41"/>
  <c r="Q65" i="41"/>
  <c r="K10" i="40"/>
  <c r="K78" i="41"/>
  <c r="Q78" i="41" s="1"/>
  <c r="K67" i="41"/>
  <c r="K66" i="41"/>
  <c r="K11" i="40" s="1"/>
  <c r="K7" i="44"/>
  <c r="K10" i="44" s="1"/>
  <c r="J78" i="41"/>
  <c r="E10" i="40" s="1"/>
  <c r="J7" i="44"/>
  <c r="J10" i="44" s="1"/>
  <c r="I67" i="41" l="1"/>
  <c r="I78" i="41"/>
  <c r="I7" i="44"/>
  <c r="I10" i="44" s="1"/>
  <c r="E11" i="40"/>
</calcChain>
</file>

<file path=xl/comments1.xml><?xml version="1.0" encoding="utf-8"?>
<comments xmlns="http://schemas.openxmlformats.org/spreadsheetml/2006/main">
  <authors>
    <author>Utilisateur Windows</author>
  </authors>
  <commentList>
    <comment ref="U7" authorId="0"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et enseignants du second degré (certifié, professeur de lycée professionnel, professeur EPS)</t>
        </r>
      </text>
    </comment>
    <comment ref="V7" authorId="0" shapeId="0">
      <text>
        <r>
          <rPr>
            <b/>
            <sz val="9"/>
            <color indexed="81"/>
            <rFont val="Tahoma"/>
            <family val="2"/>
          </rPr>
          <t>Utilisateur Windows:</t>
        </r>
        <r>
          <rPr>
            <sz val="9"/>
            <color indexed="81"/>
            <rFont val="Tahoma"/>
            <family val="2"/>
          </rPr>
          <t xml:space="preserve">
Enseignant-chercheur associé (PAST et MAST), ATER, lecteurs, maître de langue</t>
        </r>
      </text>
    </comment>
  </commentList>
</comments>
</file>

<file path=xl/comments2.xml><?xml version="1.0" encoding="utf-8"?>
<comments xmlns="http://schemas.openxmlformats.org/spreadsheetml/2006/main">
  <authors>
    <author>Utilisateur Windows</author>
    <author>Aude Petignier</author>
  </authors>
  <commentList>
    <comment ref="C8" authorId="0" shapeId="0">
      <text>
        <r>
          <rPr>
            <b/>
            <sz val="9"/>
            <color indexed="81"/>
            <rFont val="Tahoma"/>
            <family val="2"/>
          </rPr>
          <t>Utilisateur Windows:</t>
        </r>
        <r>
          <rPr>
            <sz val="9"/>
            <color indexed="81"/>
            <rFont val="Tahoma"/>
            <family val="2"/>
          </rPr>
          <t xml:space="preserve">
Par défaut le nombre d'inscrits payants correspond à la somme des inscrits en formation continue renseignés dans le tableaux ci-dessous. Toutefois cette valeur est modificable manuellement.</t>
        </r>
      </text>
    </comment>
    <comment ref="E18" authorId="1" shapeId="0">
      <text>
        <r>
          <rPr>
            <b/>
            <sz val="9"/>
            <color indexed="81"/>
            <rFont val="Tahoma"/>
            <family val="2"/>
          </rPr>
          <t>Aude Petignier:</t>
        </r>
        <r>
          <rPr>
            <sz val="9"/>
            <color indexed="81"/>
            <rFont val="Tahoma"/>
            <family val="2"/>
          </rPr>
          <t xml:space="preserve">
les NPEC varient entre 7500 € et 8500 €</t>
        </r>
      </text>
    </comment>
    <comment ref="B28" authorId="0" shapeId="0">
      <text>
        <r>
          <rPr>
            <b/>
            <sz val="9"/>
            <color indexed="81"/>
            <rFont val="Tahoma"/>
            <family val="2"/>
          </rPr>
          <t>Utilisateur Windows:</t>
        </r>
        <r>
          <rPr>
            <sz val="9"/>
            <color indexed="81"/>
            <rFont val="Tahoma"/>
            <family val="2"/>
          </rPr>
          <t xml:space="preserve">
Ne comptabilise que les tarifs pour lesquels le nombre d'étudiants n'est pas nul</t>
        </r>
      </text>
    </comment>
  </commentList>
</comments>
</file>

<file path=xl/comments3.xml><?xml version="1.0" encoding="utf-8"?>
<comments xmlns="http://schemas.openxmlformats.org/spreadsheetml/2006/main">
  <authors>
    <author>Utilisateur Windows</author>
    <author>Aude Petignier</author>
  </authors>
  <commentList>
    <comment ref="C15" authorId="0"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16" authorId="0" shapeId="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 ref="E42" authorId="1" shapeId="0">
      <text>
        <r>
          <rPr>
            <b/>
            <sz val="9"/>
            <color indexed="81"/>
            <rFont val="Tahoma"/>
            <family val="2"/>
          </rPr>
          <t>Aude Petignier:</t>
        </r>
        <r>
          <rPr>
            <sz val="9"/>
            <color indexed="81"/>
            <rFont val="Tahoma"/>
            <family val="2"/>
          </rPr>
          <t xml:space="preserve">
Frais de remise des diplomes</t>
        </r>
      </text>
    </comment>
    <comment ref="H43" authorId="1" shapeId="0">
      <text>
        <r>
          <rPr>
            <b/>
            <sz val="9"/>
            <color indexed="81"/>
            <rFont val="Tahoma"/>
            <family val="2"/>
          </rPr>
          <t>Aude Petignier:</t>
        </r>
        <r>
          <rPr>
            <sz val="9"/>
            <color indexed="81"/>
            <rFont val="Tahoma"/>
            <family val="2"/>
          </rPr>
          <t xml:space="preserve">
Voyage</t>
        </r>
      </text>
    </comment>
    <comment ref="E44" authorId="1" shapeId="0">
      <text>
        <r>
          <rPr>
            <b/>
            <sz val="9"/>
            <color indexed="81"/>
            <rFont val="Tahoma"/>
            <family val="2"/>
          </rPr>
          <t xml:space="preserve">Aude Petignier
</t>
        </r>
        <r>
          <rPr>
            <sz val="9"/>
            <color indexed="81"/>
            <rFont val="Tahoma"/>
            <family val="2"/>
          </rPr>
          <t>Comprend : le voyage, le cocktail, le concours de plaidoirie nationale pour 3 étudiants</t>
        </r>
      </text>
    </comment>
    <comment ref="D54" authorId="0" shapeId="0">
      <text>
        <r>
          <rPr>
            <b/>
            <sz val="9"/>
            <color indexed="81"/>
            <rFont val="Tahoma"/>
            <family val="2"/>
          </rPr>
          <t>Utilisateur Windows:</t>
        </r>
        <r>
          <rPr>
            <sz val="9"/>
            <color indexed="81"/>
            <rFont val="Tahoma"/>
            <family val="2"/>
          </rPr>
          <t xml:space="preserve">
Coût du service commun de formation continue</t>
        </r>
      </text>
    </comment>
    <comment ref="C55" authorId="0" shapeId="0">
      <text>
        <r>
          <rPr>
            <b/>
            <sz val="9"/>
            <color indexed="81"/>
            <rFont val="Tahoma"/>
            <family val="2"/>
          </rPr>
          <t>Utilisateur Windows:</t>
        </r>
        <r>
          <rPr>
            <sz val="9"/>
            <color indexed="81"/>
            <rFont val="Tahoma"/>
            <family val="2"/>
          </rPr>
          <t xml:space="preserve">
Coût des personnels BIATSS des composantes, de la DFVE, de la DRI, du SCUIO, etc</t>
        </r>
      </text>
    </comment>
    <comment ref="C56" authorId="0" shapeId="0">
      <text>
        <r>
          <rPr>
            <b/>
            <sz val="9"/>
            <color indexed="81"/>
            <rFont val="Tahoma"/>
            <family val="2"/>
          </rPr>
          <t>Utilisateur Windows:</t>
        </r>
        <r>
          <rPr>
            <sz val="9"/>
            <color indexed="81"/>
            <rFont val="Tahoma"/>
            <family val="2"/>
          </rPr>
          <t xml:space="preserve">
Coûts du SCD</t>
        </r>
      </text>
    </comment>
    <comment ref="C57" authorId="0" shapeId="0">
      <text>
        <r>
          <rPr>
            <b/>
            <sz val="9"/>
            <color indexed="81"/>
            <rFont val="Tahoma"/>
            <family val="2"/>
          </rPr>
          <t>Utilisateur Windows:</t>
        </r>
        <r>
          <rPr>
            <sz val="9"/>
            <color indexed="81"/>
            <rFont val="Tahoma"/>
            <family val="2"/>
          </rPr>
          <t xml:space="preserve">
Coûts de la DFVE vie étudiante, du SUAPS, du SUMMPS, etc</t>
        </r>
      </text>
    </comment>
    <comment ref="D59" authorId="0" shapeId="0">
      <text>
        <r>
          <rPr>
            <b/>
            <sz val="9"/>
            <color indexed="81"/>
            <rFont val="Tahoma"/>
            <family val="2"/>
          </rPr>
          <t>Utilisateur Windows:</t>
        </r>
        <r>
          <rPr>
            <sz val="9"/>
            <color indexed="81"/>
            <rFont val="Tahoma"/>
            <family val="2"/>
          </rPr>
          <t xml:space="preserve">
Coûts des services centraux (présidence, Agence Comptable, DAF, communication,…)</t>
        </r>
      </text>
    </comment>
    <comment ref="C60" authorId="0" shapeId="0">
      <text>
        <r>
          <rPr>
            <b/>
            <sz val="9"/>
            <color indexed="81"/>
            <rFont val="Tahoma"/>
            <family val="2"/>
          </rPr>
          <t>Utilisateur Windows:</t>
        </r>
        <r>
          <rPr>
            <sz val="9"/>
            <color indexed="81"/>
            <rFont val="Tahoma"/>
            <family val="2"/>
          </rPr>
          <t xml:space="preserve">
Coûts de la DIMMO</t>
        </r>
      </text>
    </comment>
    <comment ref="D61" authorId="0" shapeId="0">
      <text>
        <r>
          <rPr>
            <b/>
            <sz val="9"/>
            <color indexed="81"/>
            <rFont val="Tahoma"/>
            <family val="2"/>
          </rPr>
          <t>Utilisateur Windows:</t>
        </r>
        <r>
          <rPr>
            <sz val="9"/>
            <color indexed="81"/>
            <rFont val="Tahoma"/>
            <family val="2"/>
          </rPr>
          <t xml:space="preserve">
Coûts de la DSI</t>
        </r>
      </text>
    </comment>
  </commentList>
</comments>
</file>

<file path=xl/comments4.xml><?xml version="1.0" encoding="utf-8"?>
<comments xmlns="http://schemas.openxmlformats.org/spreadsheetml/2006/main">
  <authors>
    <author>Utilisateur Windows</author>
  </authors>
  <commentList>
    <comment ref="H6" authorId="0" shapeId="0">
      <text>
        <r>
          <rPr>
            <b/>
            <sz val="9"/>
            <color indexed="81"/>
            <rFont val="Tahoma"/>
            <family val="2"/>
          </rPr>
          <t>Utilisateur Windows:</t>
        </r>
        <r>
          <rPr>
            <sz val="9"/>
            <color indexed="81"/>
            <rFont val="Tahoma"/>
            <family val="2"/>
          </rPr>
          <t xml:space="preserve">
cases à modifier pour faire des simulations</t>
        </r>
      </text>
    </comment>
  </commentList>
</comments>
</file>

<file path=xl/comments5.xml><?xml version="1.0" encoding="utf-8"?>
<comments xmlns="http://schemas.openxmlformats.org/spreadsheetml/2006/main">
  <authors>
    <author>Utilisateur Windows</author>
  </authors>
  <commentList>
    <comment ref="C6" authorId="0"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7" authorId="0" shapeId="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List>
</comments>
</file>

<file path=xl/sharedStrings.xml><?xml version="1.0" encoding="utf-8"?>
<sst xmlns="http://schemas.openxmlformats.org/spreadsheetml/2006/main" count="668" uniqueCount="406">
  <si>
    <t xml:space="preserve">Nombre d'inscrits total
</t>
  </si>
  <si>
    <t>Nombre d'inscrits payants</t>
  </si>
  <si>
    <t>A. 1.1</t>
  </si>
  <si>
    <t>Enseignants titulaires</t>
  </si>
  <si>
    <t>A. 1.2</t>
  </si>
  <si>
    <t>Enseignants non titulaires</t>
  </si>
  <si>
    <t>A. 1.3</t>
  </si>
  <si>
    <t>Vacataires</t>
  </si>
  <si>
    <t>A. 1.4</t>
  </si>
  <si>
    <t>Autres (à définir)</t>
  </si>
  <si>
    <t>TOTAL heures ETD enseignement disciplinaire</t>
  </si>
  <si>
    <t>A.2</t>
  </si>
  <si>
    <t>ACCOMPAGNEMENT</t>
  </si>
  <si>
    <t>A. 2.1</t>
  </si>
  <si>
    <t>Accompagnement projet</t>
  </si>
  <si>
    <t>A. 2.2</t>
  </si>
  <si>
    <t>Suivi mémoires</t>
  </si>
  <si>
    <t>A. 2.3</t>
  </si>
  <si>
    <t>Visite en stage</t>
  </si>
  <si>
    <t>A. 2.4</t>
  </si>
  <si>
    <t>Tutorat alternance</t>
  </si>
  <si>
    <t>A. 2.5</t>
  </si>
  <si>
    <t>Sorties pédagogiques / journées d'étude</t>
  </si>
  <si>
    <t>Total</t>
  </si>
  <si>
    <t>CM/TD</t>
  </si>
  <si>
    <t>Stage/entreprise</t>
  </si>
  <si>
    <t>Projet</t>
  </si>
  <si>
    <t>Autre</t>
  </si>
  <si>
    <t>Volume horaire par étudiant parcours en formation intiale</t>
  </si>
  <si>
    <t>Volume horaire par étudiant en formation continue</t>
  </si>
  <si>
    <t>Volume horaire par étudiant en alternance</t>
  </si>
  <si>
    <t>Code Enseignement</t>
  </si>
  <si>
    <t>Libellé enseignement</t>
  </si>
  <si>
    <t>Parcours</t>
  </si>
  <si>
    <t>Obligatoire ou optionnel</t>
  </si>
  <si>
    <t>Nb choix</t>
  </si>
  <si>
    <t>type d'enseignement</t>
  </si>
  <si>
    <t>Volume horaire</t>
  </si>
  <si>
    <t>Nb inscrits total</t>
  </si>
  <si>
    <t>Capacité  groupe</t>
  </si>
  <si>
    <t>Portage extérieur</t>
  </si>
  <si>
    <t>Mention, parcours, établissement extérieur porteur</t>
  </si>
  <si>
    <t>Nb de groupes</t>
  </si>
  <si>
    <t xml:space="preserve">Nb d'heures effectives enseigement pédagogique </t>
  </si>
  <si>
    <t>Nb d'heures de suivi</t>
  </si>
  <si>
    <t>Total heures effectives</t>
  </si>
  <si>
    <t>Total HETD</t>
  </si>
  <si>
    <t xml:space="preserve">Vacataires </t>
  </si>
  <si>
    <t>Autres</t>
  </si>
  <si>
    <r>
      <t xml:space="preserve">Total heures </t>
    </r>
    <r>
      <rPr>
        <b/>
        <u/>
        <sz val="11"/>
        <color theme="0"/>
        <rFont val="Calibri"/>
        <family val="2"/>
        <scheme val="minor"/>
      </rPr>
      <t xml:space="preserve">effectives </t>
    </r>
  </si>
  <si>
    <t>Commentaires et mode de calcul de l'accompagnement</t>
  </si>
  <si>
    <t>type parcours</t>
  </si>
  <si>
    <t xml:space="preserve">Nb d'heures étudiant proratisé </t>
  </si>
  <si>
    <t>Nb d'heures tous apprenants</t>
  </si>
  <si>
    <t>Semestre 1</t>
  </si>
  <si>
    <t>Semestre 2</t>
  </si>
  <si>
    <t>RECETTES ET SIMULATIONS</t>
  </si>
  <si>
    <t>Etablissement</t>
  </si>
  <si>
    <t>Université Lumière Lyon 2</t>
  </si>
  <si>
    <t>Type de formation</t>
  </si>
  <si>
    <t>RNCP / RS</t>
  </si>
  <si>
    <t>Nom de la formation</t>
  </si>
  <si>
    <t>Composante</t>
  </si>
  <si>
    <t>Cellules à saisir manuellement</t>
  </si>
  <si>
    <t>Année scolaire considérée</t>
  </si>
  <si>
    <t>Résultat sur la part relevant de la formation initiale</t>
  </si>
  <si>
    <t>Données financières pour la part autofinancée</t>
  </si>
  <si>
    <t>Résultat de la part autofinancée</t>
  </si>
  <si>
    <t>Résultat total de la formation (FI+autofinancé)</t>
  </si>
  <si>
    <t>Coût moyen par étudiant autofinancé</t>
  </si>
  <si>
    <t>DROITS D'INSCRIPTION</t>
  </si>
  <si>
    <t>Tarif</t>
  </si>
  <si>
    <t>Type de dispositif</t>
  </si>
  <si>
    <t>Tarif de la formation</t>
  </si>
  <si>
    <t>Droits nationaux</t>
  </si>
  <si>
    <t>Nombre inscrits</t>
  </si>
  <si>
    <t>Tarif horaire</t>
  </si>
  <si>
    <t>Taux d'absentéisme (en %)</t>
  </si>
  <si>
    <t>Recettes (avec absentéisme)</t>
  </si>
  <si>
    <t>Tarif horaire avec absentéisme</t>
  </si>
  <si>
    <t>Commentaire/description du tarif</t>
  </si>
  <si>
    <t>Contrat de professionnalisation</t>
  </si>
  <si>
    <t>FORMATION INITIALE</t>
  </si>
  <si>
    <t>Contrat d'apprentissage</t>
  </si>
  <si>
    <t>FORMATION SUR RESSOURCES PROPRES</t>
  </si>
  <si>
    <t>TARIF 1</t>
  </si>
  <si>
    <t>TARIF 2</t>
  </si>
  <si>
    <t>TARIF 3</t>
  </si>
  <si>
    <t>TARIF 4</t>
  </si>
  <si>
    <t>TARIF 5</t>
  </si>
  <si>
    <t>TARIF 6</t>
  </si>
  <si>
    <t>TARIF 7</t>
  </si>
  <si>
    <t>TARIF 8</t>
  </si>
  <si>
    <t>TARIF 9</t>
  </si>
  <si>
    <t>TARIF 10</t>
  </si>
  <si>
    <t>Total droits d'inscription payés</t>
  </si>
  <si>
    <t>Financeur</t>
  </si>
  <si>
    <t>Montant</t>
  </si>
  <si>
    <t>Commentaire</t>
  </si>
  <si>
    <t>BUDGET PREVISIONNEL</t>
  </si>
  <si>
    <t>REPARTITION EN CAS DE PARTENARIAT</t>
  </si>
  <si>
    <t>Formation</t>
  </si>
  <si>
    <t>DEPENSES</t>
  </si>
  <si>
    <t>A</t>
  </si>
  <si>
    <t>REALISATION, PREPARATION DES ENSEIGNEMENTS et CHARGES SPECIFIQUES A CETTE FORMATION</t>
  </si>
  <si>
    <t>Nombre d'Heures à payer (HETD)</t>
  </si>
  <si>
    <t>Coût horaire</t>
  </si>
  <si>
    <t>TOTAL</t>
  </si>
  <si>
    <t>Part financée par SCSP (FI)</t>
  </si>
  <si>
    <t>Part financée sur ressources propres (FTLV)</t>
  </si>
  <si>
    <t>Lyon 2</t>
  </si>
  <si>
    <t>Partenaire 1</t>
  </si>
  <si>
    <t>Partenaire 2</t>
  </si>
  <si>
    <t>Partenaire 3</t>
  </si>
  <si>
    <t>du CA</t>
  </si>
  <si>
    <t>A.1</t>
  </si>
  <si>
    <t>ENSEIGNEMENT DISCIPLINAIRE</t>
  </si>
  <si>
    <t>TOTAL heures accompagnement pédagogique</t>
  </si>
  <si>
    <t>A.3</t>
  </si>
  <si>
    <t>ENCADREMENT ET PILOTAGE DU DIPLÔME</t>
  </si>
  <si>
    <t>A. 3.1</t>
  </si>
  <si>
    <t>Responsabilité diplôme</t>
  </si>
  <si>
    <t>A. 3.2</t>
  </si>
  <si>
    <t>Heures de recrutement (1 / 20 dossiers)</t>
  </si>
  <si>
    <t>A. 3.3</t>
  </si>
  <si>
    <t>TOTAL heures encadrement et pilotage du diplôme</t>
  </si>
  <si>
    <t>CHARGES DIRECTES DE FONCTIONNEMENT</t>
  </si>
  <si>
    <t>A.60</t>
  </si>
  <si>
    <t>Achat de petits materiels et fournitures</t>
  </si>
  <si>
    <t>A.61.1</t>
  </si>
  <si>
    <t>Indemnités d'occupations des locaux (locations &amp; fluides)</t>
  </si>
  <si>
    <t>A.61.2</t>
  </si>
  <si>
    <t>Autres services extérieurs</t>
  </si>
  <si>
    <t>A.62.1</t>
  </si>
  <si>
    <t>Communication et publicité</t>
  </si>
  <si>
    <t>A.62.2</t>
  </si>
  <si>
    <t>Frais déplacements/restauration globaux</t>
  </si>
  <si>
    <t>A.62.3</t>
  </si>
  <si>
    <t>Frais de deplacements/restauration liés à la FI</t>
  </si>
  <si>
    <t>A.62.4</t>
  </si>
  <si>
    <t>Frais de deplacements/restauration liés à l'alternance et la FC</t>
  </si>
  <si>
    <t>A.65</t>
  </si>
  <si>
    <t>Autres charges de gestion courantes</t>
  </si>
  <si>
    <t>A.68</t>
  </si>
  <si>
    <t>Amortissement des biens liés à la formation</t>
  </si>
  <si>
    <t>Charges de fonctionnement par apprenant</t>
  </si>
  <si>
    <t xml:space="preserve">TOTAL DES CHARGES DIRECTES </t>
  </si>
  <si>
    <t>Monant de charges directes par apprenant</t>
  </si>
  <si>
    <t>B</t>
  </si>
  <si>
    <t>CHARGES COMMUNES ET INDIRECTES</t>
  </si>
  <si>
    <t>Montant par apprenant</t>
  </si>
  <si>
    <t>Part financée sur ressources propres</t>
  </si>
  <si>
    <t>CHARGES INDIRECTES DE STOUTIEN</t>
  </si>
  <si>
    <t>B. 1.1</t>
  </si>
  <si>
    <t xml:space="preserve">Appui à la formation tout au long de la vie </t>
  </si>
  <si>
    <t>B. 1.2</t>
  </si>
  <si>
    <t>Appui à la formation</t>
  </si>
  <si>
    <t>B. 1.3</t>
  </si>
  <si>
    <t>Documentation</t>
  </si>
  <si>
    <t>B. 1.4</t>
  </si>
  <si>
    <t>Vie étudiante</t>
  </si>
  <si>
    <t>CHARGES INDIRECTES DE SUPPORT</t>
  </si>
  <si>
    <t>B. 2.1</t>
  </si>
  <si>
    <t>Gouvernance et pilotage</t>
  </si>
  <si>
    <t>B. 2.2</t>
  </si>
  <si>
    <t>Immobilier</t>
  </si>
  <si>
    <t>B.2.3</t>
  </si>
  <si>
    <t>Systèmes d'information et numériques</t>
  </si>
  <si>
    <t xml:space="preserve">TOTAL CHARGES INDIRECTES </t>
  </si>
  <si>
    <t>des dépenses</t>
  </si>
  <si>
    <t>Montant de charges indirectes par apprenant</t>
  </si>
  <si>
    <t xml:space="preserve">TOTAL DES DEPENSES </t>
  </si>
  <si>
    <t>Coût complet par apprenant</t>
  </si>
  <si>
    <t>Coût complet par heure d'enseignement</t>
  </si>
  <si>
    <t>RECETTES</t>
  </si>
  <si>
    <t>C</t>
  </si>
  <si>
    <t>SOURCES DE FINANCEMENT</t>
  </si>
  <si>
    <t>C.1.1</t>
  </si>
  <si>
    <t>Droits d'inscription</t>
  </si>
  <si>
    <t>C.1.2</t>
  </si>
  <si>
    <t xml:space="preserve">TOTAL DES RECETTES </t>
  </si>
  <si>
    <t>Recette moyenne par apprenant</t>
  </si>
  <si>
    <t>RESULTAT (avant prise en compte de la subvention pour charges de service publique)</t>
  </si>
  <si>
    <t>Types d'heures pour les étudiants</t>
  </si>
  <si>
    <t>Liste des composantes</t>
  </si>
  <si>
    <t>Heures effectives</t>
  </si>
  <si>
    <t>HETD</t>
  </si>
  <si>
    <t>charges fixes/variables</t>
  </si>
  <si>
    <t>Enseignement disciplinaire</t>
  </si>
  <si>
    <t>Cours magistral</t>
  </si>
  <si>
    <t>CM</t>
  </si>
  <si>
    <t>ASSP - Anthropologie, Sociologie, Scienes Poliques</t>
  </si>
  <si>
    <t>FI</t>
  </si>
  <si>
    <t>Travaux dirigés</t>
  </si>
  <si>
    <t>TD</t>
  </si>
  <si>
    <t>CIEF - Centre International d'Etudes Françaises</t>
  </si>
  <si>
    <t>FC</t>
  </si>
  <si>
    <t>Travaux pratiques</t>
  </si>
  <si>
    <t>TP</t>
  </si>
  <si>
    <t>FJVD - Faculté de Droit Julie-Victoire Daubié</t>
  </si>
  <si>
    <t>ALT</t>
  </si>
  <si>
    <t>Professionnalisation / recherche</t>
  </si>
  <si>
    <t>Stage (suivi)</t>
  </si>
  <si>
    <t>STSUIV</t>
  </si>
  <si>
    <t>ICOM - Institut de Communication</t>
  </si>
  <si>
    <t>FI/FC</t>
  </si>
  <si>
    <t>Stage (TD)</t>
  </si>
  <si>
    <t>STTD</t>
  </si>
  <si>
    <t>IETL - Institut d'Etudes du Travail de Lyon</t>
  </si>
  <si>
    <t>FI/ALT</t>
  </si>
  <si>
    <t>Stage (CM)</t>
  </si>
  <si>
    <t>STCM</t>
  </si>
  <si>
    <t>ISPEF - Institut des Sciences et Pratiques d'Education de la Formation</t>
  </si>
  <si>
    <t>FC/ALT</t>
  </si>
  <si>
    <t>Alternance (suivi)</t>
  </si>
  <si>
    <t>ALTSUIV</t>
  </si>
  <si>
    <t>IUT - Institut Universitaire de Technologie Lumière</t>
  </si>
  <si>
    <t>FI/FC/ALT</t>
  </si>
  <si>
    <t>Alternance (TD)</t>
  </si>
  <si>
    <t>ALTTD</t>
  </si>
  <si>
    <t>LANG - Langues</t>
  </si>
  <si>
    <t>Alternance (CM)</t>
  </si>
  <si>
    <t>ALTCM</t>
  </si>
  <si>
    <t>LESLA - Lettres, Sciences du Langage et Arts</t>
  </si>
  <si>
    <t>Projet (suivi)</t>
  </si>
  <si>
    <t>PROJSUIV</t>
  </si>
  <si>
    <t>PSYCHO - Institut de psychologie</t>
  </si>
  <si>
    <t>Projet (TD)</t>
  </si>
  <si>
    <t>PROJTD</t>
  </si>
  <si>
    <t>SEG - Sciences Economiques et de Gestion</t>
  </si>
  <si>
    <t>Projet (CM)</t>
  </si>
  <si>
    <t>PROJCM</t>
  </si>
  <si>
    <t>TT - Temps et Territoires</t>
  </si>
  <si>
    <t>Mémoire de recherche (suivi)</t>
  </si>
  <si>
    <t>MEMSUIV</t>
  </si>
  <si>
    <t>Mémoire de recherche (TD)</t>
  </si>
  <si>
    <t>MEMTD</t>
  </si>
  <si>
    <t>Mémoire de recherche (CM)</t>
  </si>
  <si>
    <t>MEMCM</t>
  </si>
  <si>
    <t>Formation à distance</t>
  </si>
  <si>
    <t>FOAD</t>
  </si>
  <si>
    <t>Sortie pédagogique (suivi)</t>
  </si>
  <si>
    <t>SPSUIV</t>
  </si>
  <si>
    <t>Sortie pédagogique (TD)</t>
  </si>
  <si>
    <t>SPTD</t>
  </si>
  <si>
    <t>Sortie pédagogique (CM)</t>
  </si>
  <si>
    <t>SPCM</t>
  </si>
  <si>
    <t>Journée d'étude (suivi)</t>
  </si>
  <si>
    <t>JESUIV</t>
  </si>
  <si>
    <t>Journée d'étude (TD)</t>
  </si>
  <si>
    <t>JETD</t>
  </si>
  <si>
    <t>Journée d'étude (CM)</t>
  </si>
  <si>
    <t>JECM</t>
  </si>
  <si>
    <t>SEUILS D'OUVERTURE</t>
  </si>
  <si>
    <t>MIXTE</t>
  </si>
  <si>
    <t>PAYANT</t>
  </si>
  <si>
    <t>TOTAL HEURES FORMATION</t>
  </si>
  <si>
    <t>Seuil d'inscriptions pour couvrir la totalité des coûts</t>
  </si>
  <si>
    <t>Seuil d'inscriptions pour ouvrir un nouvelle formation</t>
  </si>
  <si>
    <t>Répartition des heures d'enseignement (dotation estimative pour la FI)</t>
  </si>
  <si>
    <t>Recettes</t>
  </si>
  <si>
    <t>ouverture</t>
  </si>
  <si>
    <t>Renouvellement</t>
  </si>
  <si>
    <t>100% alternance/FC</t>
  </si>
  <si>
    <t>Coûts à couvrir pour ouvrir une nouvelle formation</t>
  </si>
  <si>
    <t>Total coûts</t>
  </si>
  <si>
    <t>les recettes couvrent les coûts complets pour la totalité de la formation (cellule I7)</t>
  </si>
  <si>
    <t>les recettes couvrent les coûts minimums pour la totalité de la formation (cellule I8)
                                         OU
les recettes couvrent les coûts minimums des inscrits payants ET la composante prélève les heures FI (cellule J11) sur sa dotation</t>
  </si>
  <si>
    <t>les recettes couvrent les coûts minimums pour la totalité de la formation (cellule I8)</t>
  </si>
  <si>
    <t>les recettes couvrent les coûts complets pour la totalité de la formation (cellule I7)
                                         OU
les recettes couvrent les coûts complets des inscrits payants (cellule K7) ET la composante prélève les heures FI (cellule J11) sur sa dotation</t>
  </si>
  <si>
    <t>Tableau des critères d'aide à la décision</t>
  </si>
  <si>
    <t>Diplôme en partenariat</t>
  </si>
  <si>
    <t>CFA</t>
  </si>
  <si>
    <t>Masse salariale enseignants directe par apprenant</t>
  </si>
  <si>
    <t>CHARGES DIRECTES DE PERSONNEL ENSEIGNANT</t>
  </si>
  <si>
    <t>CHARGES DIRECTES DE PERSONNEL ADMINISTRATIF</t>
  </si>
  <si>
    <t>A. 4.1</t>
  </si>
  <si>
    <t>BIATSS titulaire catégorie B</t>
  </si>
  <si>
    <t>A. 4.2</t>
  </si>
  <si>
    <t>BIATSS contractuel catégorie C</t>
  </si>
  <si>
    <t>Masse salariale administratif directe par apprenant</t>
  </si>
  <si>
    <t>Coûts moyen</t>
  </si>
  <si>
    <t>taux</t>
  </si>
  <si>
    <t>BIATSS titulaire catégorie A</t>
  </si>
  <si>
    <t>Charges indirectes</t>
  </si>
  <si>
    <t>Part établissement</t>
  </si>
  <si>
    <t>BIATSS titulaire catégorie C</t>
  </si>
  <si>
    <t>Coût du CFA</t>
  </si>
  <si>
    <t>BIATSS contractuel catégorie A</t>
  </si>
  <si>
    <t>BIATSS contractuel catégorie B</t>
  </si>
  <si>
    <t>TOTAL  Masse salariale directe par étudiant</t>
  </si>
  <si>
    <t>Dépenses de personnel</t>
  </si>
  <si>
    <t>Enseignants</t>
  </si>
  <si>
    <t>Administratifs</t>
  </si>
  <si>
    <t>Participation aux dépenses centrales et mutualisées</t>
  </si>
  <si>
    <t>CFA Lyon 2</t>
  </si>
  <si>
    <t>FTLV</t>
  </si>
  <si>
    <t>Recettes FTLV</t>
  </si>
  <si>
    <t>Excédent mobilisable</t>
  </si>
  <si>
    <t>Total participation aux charges mutualisées</t>
  </si>
  <si>
    <t>Charges de fonctionnement</t>
  </si>
  <si>
    <t>Total charges</t>
  </si>
  <si>
    <t>Nb inscrits</t>
  </si>
  <si>
    <t>Apprentis</t>
  </si>
  <si>
    <t>Contrat pro</t>
  </si>
  <si>
    <t>Total payants</t>
  </si>
  <si>
    <t>H/E</t>
  </si>
  <si>
    <t>Total FI</t>
  </si>
  <si>
    <t>B.1.1</t>
  </si>
  <si>
    <t>B.1.2</t>
  </si>
  <si>
    <t>B.1.3</t>
  </si>
  <si>
    <t>TOTAL CHARGES</t>
  </si>
  <si>
    <t>TOTAL PARTICIPATION AU TITRE DES CHARGES CENTRALES ET COMMUNES</t>
  </si>
  <si>
    <t>EXCEDENT MOBILISABLE</t>
  </si>
  <si>
    <t>Résultat en coût complet</t>
  </si>
  <si>
    <t>Dotation FI au prorata des étudiants</t>
  </si>
  <si>
    <t xml:space="preserve">Répartition des heures d'enseignement V1 (en fonction </t>
  </si>
  <si>
    <t>Capacité des CM</t>
  </si>
  <si>
    <t>Capacité des TD</t>
  </si>
  <si>
    <t>Résultat en coûts complet</t>
  </si>
  <si>
    <t>Résultat hors charges de fonctionnement</t>
  </si>
  <si>
    <t>PARTICIPATION AU TITRE DES CHARGES CENTRALES ET COMMUNES</t>
  </si>
  <si>
    <t>Recettes d'alternance</t>
  </si>
  <si>
    <t>Dotation</t>
  </si>
  <si>
    <t>Dotation FI</t>
  </si>
  <si>
    <t>CHARGES</t>
  </si>
  <si>
    <t>DEPENSES DE FONCTIONNEMENT PREVISIONNELLES</t>
  </si>
  <si>
    <t>SOLDE</t>
  </si>
  <si>
    <t>Valorisation de la dotation établissement</t>
  </si>
  <si>
    <t>TOTAL DES RECETTES</t>
  </si>
  <si>
    <t>D.1.2</t>
  </si>
  <si>
    <t>SUBVENTIONS ET AUTRES FINANCEMENTS (hors SCSP)</t>
  </si>
  <si>
    <t>Type de financement</t>
  </si>
  <si>
    <t>Total financements</t>
  </si>
  <si>
    <t>Subventions et autres financements</t>
  </si>
  <si>
    <t>Formation continue</t>
  </si>
  <si>
    <t>EP1.1A</t>
  </si>
  <si>
    <t>Obligatoire</t>
  </si>
  <si>
    <t>EP1.1B</t>
  </si>
  <si>
    <t>EP1.1C</t>
  </si>
  <si>
    <t>EP1.2A</t>
  </si>
  <si>
    <t>EP1.2B</t>
  </si>
  <si>
    <t>EP1.2C</t>
  </si>
  <si>
    <t>EP1.2D</t>
  </si>
  <si>
    <t>EP1.3A</t>
  </si>
  <si>
    <t>EP1.3B</t>
  </si>
  <si>
    <t>EP1.3C</t>
  </si>
  <si>
    <t>EP1.4A</t>
  </si>
  <si>
    <t>EP1.4B</t>
  </si>
  <si>
    <t>EP1.4C</t>
  </si>
  <si>
    <t>Retour d'alternance</t>
  </si>
  <si>
    <t>EP2.1A</t>
  </si>
  <si>
    <t>EP2.1B</t>
  </si>
  <si>
    <t>EP2.2A</t>
  </si>
  <si>
    <t>EP2.2B</t>
  </si>
  <si>
    <t>EP2.2C</t>
  </si>
  <si>
    <t>EP2.3A</t>
  </si>
  <si>
    <t>EP2.3B</t>
  </si>
  <si>
    <t>EP2.3E</t>
  </si>
  <si>
    <t>EP2.3F</t>
  </si>
  <si>
    <t>EP2.3G</t>
  </si>
  <si>
    <t>EP2.3H</t>
  </si>
  <si>
    <t>EP2.4A</t>
  </si>
  <si>
    <t>Stage et rapport (Option 1 FI ou FC)</t>
  </si>
  <si>
    <t>EP2.4B</t>
  </si>
  <si>
    <t>Travail de rédaction du rapport de stage (autonomie - Option 1 FI ou FC)</t>
  </si>
  <si>
    <t>Master</t>
  </si>
  <si>
    <t>non</t>
  </si>
  <si>
    <t>Non</t>
  </si>
  <si>
    <t>EP réservé aux alternants</t>
  </si>
  <si>
    <t>EP réservé aux stagiaires</t>
  </si>
  <si>
    <t>Pratique et actualités du droit de la propriété littéraire et artistique</t>
  </si>
  <si>
    <t>Pratique et actualités du droit des brevets</t>
  </si>
  <si>
    <t>Pratique et actualités du droit des dessins et modèles</t>
  </si>
  <si>
    <t>Pratique et actualités du droit des marques</t>
  </si>
  <si>
    <t>Droit international privé et propriété intellectuelle</t>
  </si>
  <si>
    <t>Droit européen de la propriété intellectuelle</t>
  </si>
  <si>
    <t>Titres unitaires de la propriété intellectuelle</t>
  </si>
  <si>
    <t>Droit des nouvelles technologies</t>
  </si>
  <si>
    <t>Fiscalité de la propriété intellectuelle</t>
  </si>
  <si>
    <t>Protection des données personnelles</t>
  </si>
  <si>
    <t>Technique contractuelle</t>
  </si>
  <si>
    <t>Exploitation des droits de propriété intellectuelle</t>
  </si>
  <si>
    <t>Stratégie, rédaction, négociation</t>
  </si>
  <si>
    <t>Contentieux général et spécial de la propriété intellectuelle</t>
  </si>
  <si>
    <t xml:space="preserve">Procédures et pratique </t>
  </si>
  <si>
    <t xml:space="preserve">Normalisation et droits de propriété intellectuelle </t>
  </si>
  <si>
    <t>Stratégies en droit de la propriété intellectuelle</t>
  </si>
  <si>
    <t>Anglais de la propriété intellectuelle</t>
  </si>
  <si>
    <t>Ateliers mémoire méthodologie</t>
  </si>
  <si>
    <t>Travail de rédaction du rapport et du mémoire d'alternance (autonomie)</t>
  </si>
  <si>
    <t>Mémoire</t>
  </si>
  <si>
    <t>Clinique du droit de la PI</t>
  </si>
  <si>
    <t>dont 20H réalisées par des EC issus d'autres universités</t>
  </si>
  <si>
    <t>dont 4H réalisées par des EC issus d'autres universités</t>
  </si>
  <si>
    <t>dont 16H réalisées par des EC issus d'autres universités</t>
  </si>
  <si>
    <t>dont 21H réalisées par des EC issus d'autres universités</t>
  </si>
  <si>
    <t>dont 7H réalisées par des EC issus d'autres universités</t>
  </si>
  <si>
    <t>dont 3H réalisées par des EC issus d'autres universités</t>
  </si>
  <si>
    <t>Ateliers éloquence</t>
  </si>
  <si>
    <t>RNCP34127</t>
  </si>
  <si>
    <t>Droit des Affaires_
Droit de la propriété intellectuelle - créations artistiques et esthétiques</t>
  </si>
  <si>
    <t>EP2.2D</t>
  </si>
  <si>
    <t>Dotation actuelle pour ce parcours</t>
  </si>
  <si>
    <t>Suivi de l'alternance + mémoire/rapport</t>
  </si>
  <si>
    <t>8 h / alt pour suivi alternance + 1 h suivi rapport/ mémoire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</si>
</sst>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0\ &quot;€&quot;;[Red]\-#,##0\ &quot;€&quot;"/>
    <numFmt numFmtId="44" formatCode="_-* #,##0.00\ &quot;€&quot;_-;\-* #,##0.00\ &quot;€&quot;_-;_-* &quot;-&quot;??\ &quot;€&quot;_-;_-@_-"/>
    <numFmt numFmtId="164" formatCode="_-* #,##0.00\ _€_-;\-* #,##0.00\ _€_-;_-* &quot;-&quot;??\ _€_-;_-@_-"/>
    <numFmt numFmtId="165" formatCode="0.0"/>
    <numFmt numFmtId="166" formatCode="_-* #,##0.00\ &quot;BF&quot;_-;\-* #,##0.00\ &quot;BF&quot;_-;_-* &quot;-&quot;??\ &quot;BF&quot;_-;_-@_-"/>
    <numFmt numFmtId="167" formatCode="#,##0\ &quot;F&quot;"/>
    <numFmt numFmtId="168" formatCode="_-* #,##0.00\ _B_F_-;\-* #,##0.00\ _B_F_-;_-* &quot;-&quot;??\ _B_F_-;_-@_-"/>
    <numFmt numFmtId="169" formatCode="#,##0\ &quot;€&quot;"/>
    <numFmt numFmtId="170" formatCode="_-* #,##0\ [$€]_-;\-* #,##0\ [$€]_-;_-* &quot;-&quot;??\ [$€]_-;_-@_-"/>
    <numFmt numFmtId="171" formatCode="_-* #,##0\ [$€-803]_-;\-* #,##0\ [$€-803]_-;_-* &quot;-&quot;??\ [$€-803]_-;_-@_-"/>
    <numFmt numFmtId="172" formatCode="#,##0.00_ ;\-#,##0.00\ "/>
    <numFmt numFmtId="173" formatCode="_-* #,##0\ &quot;€&quot;_-;\-* #,##0\ &quot;€&quot;_-;_-* &quot;-&quot;??\ &quot;€&quot;_-;_-@_-"/>
    <numFmt numFmtId="174" formatCode="#,##0.00\ &quot;€&quot;"/>
  </numFmts>
  <fonts count="34" x14ac:knownFonts="1">
    <font>
      <sz val="10"/>
      <name val="Arial"/>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sz val="10"/>
      <name val="Calibri"/>
      <family val="2"/>
      <scheme val="minor"/>
    </font>
    <font>
      <b/>
      <sz val="10"/>
      <name val="Calibri"/>
      <family val="2"/>
      <scheme val="minor"/>
    </font>
    <font>
      <b/>
      <sz val="10"/>
      <color theme="0"/>
      <name val="Calibri"/>
      <family val="2"/>
      <scheme val="minor"/>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theme="1"/>
      <name val="Calibri"/>
      <family val="2"/>
      <scheme val="minor"/>
    </font>
    <font>
      <sz val="10"/>
      <color theme="0"/>
      <name val="Calibri"/>
      <family val="2"/>
      <scheme val="minor"/>
    </font>
    <font>
      <sz val="10"/>
      <color theme="6" tint="0.79998168889431442"/>
      <name val="Calibri"/>
      <family val="2"/>
      <scheme val="minor"/>
    </font>
    <font>
      <b/>
      <sz val="9"/>
      <color indexed="81"/>
      <name val="Tahoma"/>
      <family val="2"/>
    </font>
    <font>
      <sz val="9"/>
      <color indexed="81"/>
      <name val="Tahoma"/>
      <family val="2"/>
    </font>
    <font>
      <sz val="10"/>
      <color indexed="62"/>
      <name val="Calibri"/>
      <family val="2"/>
      <scheme val="minor"/>
    </font>
    <font>
      <b/>
      <sz val="10"/>
      <color rgb="FFFF0000"/>
      <name val="Calibri"/>
      <family val="2"/>
      <scheme val="minor"/>
    </font>
    <font>
      <sz val="10"/>
      <color rgb="FFFF0000"/>
      <name val="Calibri"/>
      <family val="2"/>
      <scheme val="minor"/>
    </font>
    <font>
      <b/>
      <u/>
      <sz val="11"/>
      <color theme="0"/>
      <name val="Calibri"/>
      <family val="2"/>
      <scheme val="minor"/>
    </font>
    <font>
      <sz val="12"/>
      <color theme="0"/>
      <name val="Calibri"/>
      <family val="2"/>
      <scheme val="minor"/>
    </font>
    <font>
      <b/>
      <sz val="10"/>
      <name val="Arial"/>
      <family val="2"/>
    </font>
    <font>
      <sz val="11"/>
      <color rgb="FF000000"/>
      <name val="Calibri"/>
      <family val="2"/>
    </font>
    <font>
      <b/>
      <sz val="10"/>
      <color theme="0"/>
      <name val="Arial"/>
      <family val="2"/>
    </font>
    <font>
      <sz val="12"/>
      <name val="Calibri"/>
      <family val="2"/>
    </font>
    <font>
      <sz val="10"/>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18F8F"/>
        <bgColor indexed="64"/>
      </patternFill>
    </fill>
    <fill>
      <patternFill patternType="solid">
        <fgColor rgb="FFFAF0F0"/>
        <bgColor indexed="64"/>
      </patternFill>
    </fill>
    <fill>
      <patternFill patternType="solid">
        <fgColor theme="5" tint="0.59999389629810485"/>
        <bgColor indexed="64"/>
      </patternFill>
    </fill>
    <fill>
      <patternFill patternType="solid">
        <fgColor rgb="FFF8EDEC"/>
        <bgColor indexed="64"/>
      </patternFill>
    </fill>
    <fill>
      <patternFill patternType="solid">
        <fgColor rgb="FFF6B8B8"/>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BE1E1"/>
        <bgColor indexed="64"/>
      </patternFill>
    </fill>
    <fill>
      <patternFill patternType="solid">
        <fgColor rgb="FFF0F8FA"/>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99FF"/>
        <bgColor indexed="64"/>
      </patternFill>
    </fill>
  </fills>
  <borders count="7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medium">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style="thin">
        <color indexed="64"/>
      </right>
      <top style="medium">
        <color auto="1"/>
      </top>
      <bottom style="thin">
        <color auto="1"/>
      </bottom>
      <diagonal/>
    </border>
    <border>
      <left/>
      <right style="thin">
        <color auto="1"/>
      </right>
      <top/>
      <bottom style="medium">
        <color auto="1"/>
      </bottom>
      <diagonal/>
    </border>
    <border>
      <left/>
      <right style="medium">
        <color indexed="64"/>
      </right>
      <top style="medium">
        <color indexed="64"/>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right style="thin">
        <color auto="1"/>
      </right>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style="medium">
        <color indexed="64"/>
      </right>
      <top style="thin">
        <color auto="1"/>
      </top>
      <bottom style="medium">
        <color auto="1"/>
      </bottom>
      <diagonal/>
    </border>
    <border>
      <left style="medium">
        <color indexed="64"/>
      </left>
      <right/>
      <top/>
      <bottom style="medium">
        <color auto="1"/>
      </bottom>
      <diagonal/>
    </border>
    <border>
      <left style="thin">
        <color auto="1"/>
      </left>
      <right style="medium">
        <color indexed="64"/>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auto="1"/>
      </left>
      <right style="medium">
        <color auto="1"/>
      </right>
      <top/>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style="thin">
        <color auto="1"/>
      </top>
      <bottom/>
      <diagonal/>
    </border>
    <border>
      <left/>
      <right style="medium">
        <color rgb="FF000000"/>
      </right>
      <top style="thin">
        <color indexed="64"/>
      </top>
      <bottom style="thin">
        <color indexed="64"/>
      </bottom>
      <diagonal/>
    </border>
  </borders>
  <cellStyleXfs count="20">
    <xf numFmtId="0" fontId="0" fillId="0" borderId="0"/>
    <xf numFmtId="44" fontId="5"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9" fontId="5" fillId="0" borderId="0" applyFont="0" applyFill="0" applyBorder="0" applyAlignment="0" applyProtection="0"/>
    <xf numFmtId="0" fontId="13" fillId="0" borderId="0"/>
    <xf numFmtId="166"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0" fontId="2" fillId="0" borderId="0"/>
    <xf numFmtId="164" fontId="5" fillId="0" borderId="0" applyFont="0" applyFill="0" applyBorder="0" applyAlignment="0" applyProtection="0"/>
    <xf numFmtId="44" fontId="2" fillId="0" borderId="0" applyFont="0" applyFill="0" applyBorder="0" applyAlignment="0" applyProtection="0"/>
  </cellStyleXfs>
  <cellXfs count="751">
    <xf numFmtId="0" fontId="0" fillId="0" borderId="0" xfId="0"/>
    <xf numFmtId="0" fontId="0" fillId="2" borderId="0" xfId="0" applyFill="1" applyAlignment="1">
      <alignment vertical="center"/>
    </xf>
    <xf numFmtId="0" fontId="5" fillId="2" borderId="0" xfId="0" applyFont="1" applyFill="1" applyAlignment="1">
      <alignment vertical="center"/>
    </xf>
    <xf numFmtId="0" fontId="4" fillId="2" borderId="4" xfId="10" applyFill="1" applyBorder="1" applyAlignment="1">
      <alignment vertical="center"/>
    </xf>
    <xf numFmtId="0" fontId="0" fillId="2" borderId="4" xfId="0" applyFill="1" applyBorder="1" applyAlignment="1">
      <alignment vertical="center"/>
    </xf>
    <xf numFmtId="0" fontId="5" fillId="2" borderId="4" xfId="0" applyFont="1" applyFill="1" applyBorder="1" applyAlignment="1">
      <alignment vertical="center"/>
    </xf>
    <xf numFmtId="0" fontId="0" fillId="2" borderId="0" xfId="0" applyFill="1" applyAlignment="1">
      <alignment horizontal="center" vertical="center"/>
    </xf>
    <xf numFmtId="0" fontId="0" fillId="2" borderId="24" xfId="0" applyFill="1" applyBorder="1" applyAlignment="1">
      <alignment horizontal="center" vertical="center"/>
    </xf>
    <xf numFmtId="0" fontId="5" fillId="2" borderId="4" xfId="0"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Alignment="1">
      <alignment vertical="center"/>
    </xf>
    <xf numFmtId="0" fontId="14" fillId="2" borderId="0" xfId="0" applyFont="1" applyFill="1" applyAlignment="1">
      <alignment horizontal="left" vertical="center"/>
    </xf>
    <xf numFmtId="0" fontId="16" fillId="2" borderId="0" xfId="10" applyFont="1" applyFill="1" applyAlignment="1">
      <alignment wrapText="1"/>
    </xf>
    <xf numFmtId="0" fontId="17" fillId="3" borderId="22" xfId="10" applyFont="1" applyFill="1" applyBorder="1" applyAlignment="1">
      <alignment horizontal="center" vertical="center" wrapText="1"/>
    </xf>
    <xf numFmtId="1" fontId="15" fillId="2" borderId="9" xfId="10" applyNumberFormat="1" applyFont="1" applyFill="1" applyBorder="1" applyAlignment="1">
      <alignment horizontal="center" vertical="center" wrapText="1"/>
    </xf>
    <xf numFmtId="0" fontId="16" fillId="6" borderId="5" xfId="10" applyFont="1" applyFill="1" applyBorder="1" applyAlignment="1">
      <alignment horizontal="center" vertical="center"/>
    </xf>
    <xf numFmtId="0" fontId="16" fillId="4" borderId="31" xfId="10" applyFont="1" applyFill="1" applyBorder="1" applyAlignment="1">
      <alignment horizontal="center" vertical="center"/>
    </xf>
    <xf numFmtId="0" fontId="16" fillId="6" borderId="44" xfId="10" applyFont="1" applyFill="1" applyBorder="1" applyAlignment="1">
      <alignment horizontal="center" vertical="center"/>
    </xf>
    <xf numFmtId="0" fontId="16" fillId="7" borderId="9" xfId="10" applyFont="1" applyFill="1" applyBorder="1" applyAlignment="1">
      <alignment horizontal="center" vertical="center"/>
    </xf>
    <xf numFmtId="0" fontId="18" fillId="7" borderId="10" xfId="10" applyFont="1" applyFill="1" applyBorder="1" applyAlignment="1">
      <alignment vertical="center"/>
    </xf>
    <xf numFmtId="1" fontId="14" fillId="7" borderId="9" xfId="9" applyNumberFormat="1" applyFont="1" applyFill="1" applyBorder="1" applyAlignment="1" applyProtection="1">
      <alignment horizontal="center" vertical="center"/>
    </xf>
    <xf numFmtId="0" fontId="17" fillId="3" borderId="18" xfId="0" applyFont="1" applyFill="1" applyBorder="1" applyAlignment="1">
      <alignment vertical="center"/>
    </xf>
    <xf numFmtId="0" fontId="17" fillId="3" borderId="38" xfId="0" applyFont="1" applyFill="1" applyBorder="1" applyAlignment="1">
      <alignment horizontal="center" vertical="center"/>
    </xf>
    <xf numFmtId="0" fontId="17" fillId="3" borderId="18" xfId="0" applyFont="1" applyFill="1" applyBorder="1" applyAlignment="1">
      <alignment horizontal="center" vertical="center"/>
    </xf>
    <xf numFmtId="165" fontId="17" fillId="3" borderId="18" xfId="0" applyNumberFormat="1" applyFont="1" applyFill="1" applyBorder="1" applyAlignment="1">
      <alignment horizontal="center" vertical="center"/>
    </xf>
    <xf numFmtId="0" fontId="14" fillId="2" borderId="0" xfId="0" applyFont="1" applyFill="1" applyAlignment="1">
      <alignment horizontal="right" vertical="center"/>
    </xf>
    <xf numFmtId="1" fontId="14" fillId="7" borderId="47" xfId="12" applyNumberFormat="1" applyFont="1" applyFill="1" applyBorder="1" applyAlignment="1" applyProtection="1">
      <alignment horizontal="center" vertical="center"/>
    </xf>
    <xf numFmtId="165" fontId="14" fillId="4" borderId="43" xfId="12" applyNumberFormat="1" applyFont="1" applyFill="1" applyBorder="1" applyAlignment="1" applyProtection="1">
      <alignment horizontal="center" vertical="center"/>
    </xf>
    <xf numFmtId="0" fontId="18" fillId="2" borderId="4" xfId="10" applyFont="1" applyFill="1" applyBorder="1" applyAlignment="1" applyProtection="1">
      <alignment vertical="center"/>
      <protection locked="0"/>
    </xf>
    <xf numFmtId="1" fontId="14" fillId="0" borderId="4" xfId="9" applyNumberFormat="1" applyFont="1" applyBorder="1" applyAlignment="1" applyProtection="1">
      <alignment horizontal="center" vertical="center"/>
      <protection locked="0"/>
    </xf>
    <xf numFmtId="0" fontId="16" fillId="2" borderId="4" xfId="10" applyFont="1" applyFill="1" applyBorder="1" applyAlignment="1" applyProtection="1">
      <alignment horizontal="center" vertical="center"/>
      <protection locked="0"/>
    </xf>
    <xf numFmtId="0" fontId="18" fillId="2" borderId="21" xfId="10" applyFont="1" applyFill="1" applyBorder="1" applyAlignment="1" applyProtection="1">
      <alignment vertical="center"/>
      <protection locked="0"/>
    </xf>
    <xf numFmtId="0" fontId="16" fillId="0" borderId="21" xfId="10" applyFont="1" applyBorder="1" applyAlignment="1" applyProtection="1">
      <alignment horizontal="center" vertical="center"/>
      <protection locked="0"/>
    </xf>
    <xf numFmtId="0" fontId="14" fillId="0" borderId="7" xfId="9" applyNumberFormat="1" applyFont="1" applyBorder="1" applyAlignment="1" applyProtection="1">
      <alignment horizontal="center" vertical="center"/>
      <protection locked="0"/>
    </xf>
    <xf numFmtId="0" fontId="17" fillId="3" borderId="18" xfId="0" applyFont="1" applyFill="1" applyBorder="1" applyAlignment="1">
      <alignment horizontal="left" vertical="center"/>
    </xf>
    <xf numFmtId="0" fontId="16" fillId="0" borderId="44" xfId="10" applyFont="1" applyBorder="1" applyAlignment="1" applyProtection="1">
      <alignment horizontal="center" vertical="center"/>
      <protection locked="0"/>
    </xf>
    <xf numFmtId="0" fontId="19" fillId="0" borderId="21" xfId="10" applyFont="1" applyBorder="1" applyAlignment="1" applyProtection="1">
      <alignment horizontal="center" vertical="center"/>
      <protection locked="0"/>
    </xf>
    <xf numFmtId="0" fontId="16" fillId="7" borderId="16" xfId="10" applyFont="1" applyFill="1" applyBorder="1" applyAlignment="1">
      <alignment horizontal="center" vertical="center"/>
    </xf>
    <xf numFmtId="0" fontId="12" fillId="3" borderId="29" xfId="10" applyFont="1" applyFill="1" applyBorder="1" applyAlignment="1">
      <alignment horizontal="center" vertical="center" wrapText="1"/>
    </xf>
    <xf numFmtId="0" fontId="17" fillId="3" borderId="11" xfId="0" applyFont="1" applyFill="1" applyBorder="1" applyAlignment="1">
      <alignment horizontal="center" vertical="center"/>
    </xf>
    <xf numFmtId="0" fontId="16" fillId="0" borderId="3" xfId="10" applyFont="1" applyBorder="1" applyAlignment="1" applyProtection="1">
      <alignment horizontal="center" vertical="center"/>
      <protection locked="0"/>
    </xf>
    <xf numFmtId="165" fontId="16" fillId="7" borderId="10" xfId="10" applyNumberFormat="1" applyFont="1" applyFill="1" applyBorder="1" applyAlignment="1">
      <alignment horizontal="center" vertical="center"/>
    </xf>
    <xf numFmtId="165" fontId="19" fillId="7" borderId="9" xfId="10" applyNumberFormat="1" applyFont="1" applyFill="1" applyBorder="1" applyAlignment="1">
      <alignment horizontal="center" vertical="center"/>
    </xf>
    <xf numFmtId="165" fontId="17" fillId="3" borderId="12" xfId="0" applyNumberFormat="1" applyFont="1" applyFill="1" applyBorder="1" applyAlignment="1">
      <alignment horizontal="center" vertical="center"/>
    </xf>
    <xf numFmtId="0" fontId="18" fillId="2" borderId="14" xfId="10" applyFont="1" applyFill="1" applyBorder="1" applyAlignment="1" applyProtection="1">
      <alignment vertical="center"/>
      <protection locked="0"/>
    </xf>
    <xf numFmtId="0" fontId="14" fillId="7" borderId="8" xfId="9" applyNumberFormat="1" applyFont="1" applyFill="1" applyBorder="1" applyAlignment="1" applyProtection="1">
      <alignment horizontal="center" vertical="center"/>
    </xf>
    <xf numFmtId="0" fontId="16" fillId="2" borderId="7" xfId="10" applyFont="1" applyFill="1" applyBorder="1" applyAlignment="1" applyProtection="1">
      <alignment horizontal="center" vertical="center" wrapText="1"/>
      <protection locked="0"/>
    </xf>
    <xf numFmtId="0" fontId="16" fillId="2" borderId="13" xfId="10" applyFont="1" applyFill="1" applyBorder="1" applyAlignment="1" applyProtection="1">
      <alignment horizontal="center" vertical="center" wrapText="1"/>
      <protection locked="0"/>
    </xf>
    <xf numFmtId="0" fontId="16" fillId="7" borderId="8" xfId="10" applyFont="1" applyFill="1" applyBorder="1" applyAlignment="1">
      <alignment horizontal="center" vertical="center" wrapText="1"/>
    </xf>
    <xf numFmtId="0" fontId="16" fillId="0" borderId="30" xfId="10" applyFont="1" applyBorder="1" applyAlignment="1" applyProtection="1">
      <alignment horizontal="center" vertical="center"/>
      <protection locked="0"/>
    </xf>
    <xf numFmtId="165" fontId="14" fillId="4" borderId="61" xfId="12" applyNumberFormat="1" applyFont="1" applyFill="1" applyBorder="1" applyAlignment="1" applyProtection="1">
      <alignment horizontal="center" vertical="center"/>
    </xf>
    <xf numFmtId="0" fontId="16" fillId="4" borderId="60" xfId="10" applyFont="1" applyFill="1" applyBorder="1" applyAlignment="1">
      <alignment horizontal="center" vertical="center"/>
    </xf>
    <xf numFmtId="0" fontId="14" fillId="7" borderId="23" xfId="9" applyNumberFormat="1" applyFont="1" applyFill="1" applyBorder="1" applyAlignment="1" applyProtection="1">
      <alignment horizontal="center" vertical="center"/>
    </xf>
    <xf numFmtId="0" fontId="14" fillId="7" borderId="39" xfId="9" applyNumberFormat="1" applyFont="1" applyFill="1" applyBorder="1" applyAlignment="1" applyProtection="1">
      <alignment horizontal="left" vertical="center"/>
    </xf>
    <xf numFmtId="0" fontId="16" fillId="7" borderId="23" xfId="10" applyFont="1" applyFill="1" applyBorder="1" applyAlignment="1">
      <alignment horizontal="left" vertical="center"/>
    </xf>
    <xf numFmtId="165" fontId="14" fillId="7" borderId="62" xfId="12" applyNumberFormat="1" applyFont="1" applyFill="1" applyBorder="1" applyAlignment="1" applyProtection="1">
      <alignment horizontal="center" vertical="center"/>
    </xf>
    <xf numFmtId="0" fontId="18" fillId="7" borderId="16" xfId="10" applyFont="1" applyFill="1" applyBorder="1" applyAlignment="1">
      <alignment vertical="center"/>
    </xf>
    <xf numFmtId="0" fontId="19" fillId="7" borderId="50" xfId="10" applyFont="1" applyFill="1" applyBorder="1" applyAlignment="1">
      <alignment horizontal="center" vertical="center"/>
    </xf>
    <xf numFmtId="1" fontId="17" fillId="3" borderId="12" xfId="0" applyNumberFormat="1" applyFont="1" applyFill="1" applyBorder="1" applyAlignment="1">
      <alignment horizontal="center" vertical="center"/>
    </xf>
    <xf numFmtId="0" fontId="17" fillId="3" borderId="59" xfId="1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167" fontId="9" fillId="2" borderId="0" xfId="14" applyNumberFormat="1" applyFont="1" applyFill="1" applyAlignment="1" applyProtection="1">
      <alignment vertical="center"/>
    </xf>
    <xf numFmtId="167" fontId="9" fillId="2" borderId="0" xfId="14" applyNumberFormat="1" applyFont="1" applyFill="1" applyAlignment="1" applyProtection="1">
      <alignment horizontal="center" vertical="center"/>
    </xf>
    <xf numFmtId="0" fontId="9" fillId="0" borderId="0" xfId="0" applyFont="1" applyAlignment="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9" fillId="8" borderId="4" xfId="0" applyFont="1" applyFill="1" applyBorder="1" applyAlignment="1" applyProtection="1">
      <alignment horizontal="center" vertical="center"/>
      <protection locked="0"/>
    </xf>
    <xf numFmtId="0" fontId="9" fillId="8" borderId="4" xfId="15" applyNumberFormat="1" applyFont="1" applyFill="1" applyBorder="1" applyAlignment="1" applyProtection="1">
      <alignment horizontal="center" vertical="center"/>
    </xf>
    <xf numFmtId="0" fontId="10" fillId="2" borderId="0" xfId="0" applyFont="1" applyFill="1" applyAlignment="1">
      <alignment horizontal="left" vertical="center"/>
    </xf>
    <xf numFmtId="0" fontId="9" fillId="8" borderId="4" xfId="15"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0" fillId="2" borderId="0" xfId="0" applyFont="1" applyFill="1" applyAlignment="1">
      <alignment vertical="center"/>
    </xf>
    <xf numFmtId="169" fontId="10" fillId="2" borderId="4" xfId="0" applyNumberFormat="1" applyFont="1" applyFill="1" applyBorder="1" applyAlignment="1">
      <alignment vertical="center"/>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2" xfId="0" applyFont="1" applyFill="1" applyBorder="1" applyAlignment="1">
      <alignment horizontal="center" vertical="center"/>
    </xf>
    <xf numFmtId="0" fontId="20" fillId="2" borderId="0" xfId="0" applyFont="1" applyFill="1" applyAlignment="1">
      <alignment vertical="center"/>
    </xf>
    <xf numFmtId="0" fontId="9" fillId="2" borderId="16" xfId="0" applyFont="1" applyFill="1" applyBorder="1" applyAlignment="1">
      <alignment horizontal="center" vertical="center"/>
    </xf>
    <xf numFmtId="169" fontId="9" fillId="8" borderId="4" xfId="0" applyNumberFormat="1" applyFont="1" applyFill="1" applyBorder="1" applyAlignment="1" applyProtection="1">
      <alignment vertical="center"/>
      <protection locked="0"/>
    </xf>
    <xf numFmtId="169" fontId="9" fillId="2" borderId="4" xfId="0" applyNumberFormat="1" applyFont="1" applyFill="1" applyBorder="1" applyAlignment="1">
      <alignment vertical="center"/>
    </xf>
    <xf numFmtId="169" fontId="9" fillId="10" borderId="3" xfId="0" applyNumberFormat="1" applyFont="1" applyFill="1" applyBorder="1" applyAlignment="1">
      <alignment vertical="center"/>
    </xf>
    <xf numFmtId="169" fontId="9" fillId="10" borderId="10" xfId="0" applyNumberFormat="1" applyFont="1" applyFill="1" applyBorder="1" applyAlignment="1">
      <alignment vertical="center"/>
    </xf>
    <xf numFmtId="169" fontId="9" fillId="10" borderId="47" xfId="0" applyNumberFormat="1" applyFont="1" applyFill="1" applyBorder="1" applyAlignment="1">
      <alignment horizontal="center" vertical="center"/>
    </xf>
    <xf numFmtId="0" fontId="9" fillId="2" borderId="7" xfId="0" applyFont="1" applyFill="1" applyBorder="1" applyAlignment="1">
      <alignment vertical="center"/>
    </xf>
    <xf numFmtId="0" fontId="9" fillId="8" borderId="4" xfId="0" applyFont="1" applyFill="1" applyBorder="1" applyAlignment="1" applyProtection="1">
      <alignment vertical="center"/>
      <protection locked="0"/>
    </xf>
    <xf numFmtId="9" fontId="9" fillId="8" borderId="4" xfId="12" applyFont="1" applyFill="1" applyBorder="1" applyAlignment="1" applyProtection="1">
      <alignment horizontal="center" vertical="center"/>
      <protection locked="0"/>
    </xf>
    <xf numFmtId="0" fontId="9" fillId="2" borderId="28" xfId="0" applyFont="1" applyFill="1" applyBorder="1" applyAlignment="1">
      <alignment vertical="center"/>
    </xf>
    <xf numFmtId="0" fontId="9" fillId="8" borderId="21" xfId="0" applyFont="1" applyFill="1" applyBorder="1" applyAlignment="1" applyProtection="1">
      <alignment vertical="center"/>
      <protection locked="0"/>
    </xf>
    <xf numFmtId="169" fontId="9" fillId="8" borderId="21" xfId="0" applyNumberFormat="1" applyFont="1" applyFill="1" applyBorder="1" applyAlignment="1" applyProtection="1">
      <alignment vertical="center"/>
      <protection locked="0"/>
    </xf>
    <xf numFmtId="0" fontId="10" fillId="2" borderId="36" xfId="0" applyFont="1" applyFill="1" applyBorder="1" applyAlignment="1">
      <alignment horizontal="center" vertical="center"/>
    </xf>
    <xf numFmtId="0" fontId="10" fillId="2" borderId="16" xfId="0" applyFont="1" applyFill="1" applyBorder="1" applyAlignment="1">
      <alignment vertical="center"/>
    </xf>
    <xf numFmtId="169" fontId="10" fillId="2" borderId="36" xfId="0" applyNumberFormat="1" applyFont="1" applyFill="1" applyBorder="1" applyAlignment="1">
      <alignment vertical="center"/>
    </xf>
    <xf numFmtId="169" fontId="10" fillId="2" borderId="9" xfId="0" applyNumberFormat="1" applyFont="1" applyFill="1" applyBorder="1" applyAlignment="1">
      <alignment vertical="center"/>
    </xf>
    <xf numFmtId="169" fontId="10" fillId="2" borderId="0" xfId="0" applyNumberFormat="1" applyFont="1" applyFill="1" applyAlignment="1">
      <alignment vertical="center"/>
    </xf>
    <xf numFmtId="0" fontId="11" fillId="3" borderId="30" xfId="0" applyFont="1" applyFill="1" applyBorder="1" applyAlignment="1">
      <alignment horizontal="center" vertical="center" wrapText="1"/>
    </xf>
    <xf numFmtId="169" fontId="10" fillId="0" borderId="9" xfId="0" applyNumberFormat="1" applyFont="1" applyBorder="1" applyAlignment="1">
      <alignment vertical="center"/>
    </xf>
    <xf numFmtId="0" fontId="9" fillId="0" borderId="0" xfId="0" applyFont="1" applyAlignment="1">
      <alignment horizontal="center" vertical="center"/>
    </xf>
    <xf numFmtId="167" fontId="9" fillId="0" borderId="0" xfId="14" applyNumberFormat="1" applyFont="1" applyAlignment="1" applyProtection="1">
      <alignment vertical="center"/>
    </xf>
    <xf numFmtId="167" fontId="9" fillId="0" borderId="0" xfId="14" applyNumberFormat="1" applyFont="1" applyAlignment="1" applyProtection="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horizontal="center" vertical="center"/>
    </xf>
    <xf numFmtId="0" fontId="9" fillId="0" borderId="4" xfId="15" applyNumberFormat="1" applyFont="1" applyFill="1" applyBorder="1" applyAlignment="1" applyProtection="1">
      <alignment horizontal="center" vertical="center"/>
    </xf>
    <xf numFmtId="0" fontId="10" fillId="0" borderId="0" xfId="0" applyFont="1" applyAlignment="1">
      <alignment vertical="center"/>
    </xf>
    <xf numFmtId="0" fontId="9" fillId="2" borderId="0" xfId="0" applyFont="1" applyFill="1" applyAlignment="1">
      <alignment horizontal="left" vertical="center"/>
    </xf>
    <xf numFmtId="0" fontId="24" fillId="0" borderId="0" xfId="0" applyFont="1" applyAlignment="1">
      <alignment vertical="center"/>
    </xf>
    <xf numFmtId="170" fontId="9" fillId="2" borderId="0" xfId="0" applyNumberFormat="1" applyFont="1" applyFill="1" applyAlignment="1">
      <alignment horizontal="center" vertical="center"/>
    </xf>
    <xf numFmtId="0" fontId="11" fillId="3" borderId="19" xfId="0" applyFont="1" applyFill="1" applyBorder="1" applyAlignment="1">
      <alignment vertical="center"/>
    </xf>
    <xf numFmtId="0" fontId="11" fillId="3" borderId="18" xfId="0" applyFont="1" applyFill="1" applyBorder="1" applyAlignment="1">
      <alignment vertical="center"/>
    </xf>
    <xf numFmtId="0" fontId="11" fillId="3" borderId="34" xfId="0" applyFont="1" applyFill="1" applyBorder="1" applyAlignment="1">
      <alignment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30" xfId="0" applyFont="1" applyFill="1" applyBorder="1" applyAlignment="1">
      <alignment horizontal="center" vertical="center" wrapText="1"/>
    </xf>
    <xf numFmtId="167" fontId="10" fillId="2" borderId="30" xfId="14" applyNumberFormat="1" applyFont="1" applyFill="1" applyBorder="1" applyAlignment="1" applyProtection="1">
      <alignment horizontal="center" vertical="center" wrapText="1"/>
    </xf>
    <xf numFmtId="167" fontId="10" fillId="2" borderId="12" xfId="14" applyNumberFormat="1" applyFont="1" applyFill="1" applyBorder="1" applyAlignment="1" applyProtection="1">
      <alignment horizontal="center" vertical="center" wrapText="1"/>
    </xf>
    <xf numFmtId="167" fontId="10" fillId="2" borderId="34" xfId="14" applyNumberFormat="1" applyFont="1" applyFill="1" applyBorder="1" applyAlignment="1" applyProtection="1">
      <alignment horizontal="center" vertical="center" wrapText="1"/>
    </xf>
    <xf numFmtId="167" fontId="10" fillId="2" borderId="25" xfId="14" applyNumberFormat="1" applyFont="1" applyFill="1" applyBorder="1" applyAlignment="1" applyProtection="1">
      <alignment horizontal="center" vertical="center" wrapText="1"/>
      <protection locked="0"/>
    </xf>
    <xf numFmtId="167" fontId="10" fillId="2" borderId="12" xfId="14" applyNumberFormat="1" applyFont="1" applyFill="1" applyBorder="1" applyAlignment="1" applyProtection="1">
      <alignment horizontal="center" vertical="center" wrapText="1"/>
      <protection locked="0"/>
    </xf>
    <xf numFmtId="167" fontId="10" fillId="2" borderId="15" xfId="14" applyNumberFormat="1" applyFont="1" applyFill="1" applyBorder="1" applyAlignment="1" applyProtection="1">
      <alignment horizontal="center" vertical="center" wrapText="1"/>
      <protection locked="0"/>
    </xf>
    <xf numFmtId="167" fontId="10" fillId="2" borderId="32" xfId="14" applyNumberFormat="1" applyFont="1" applyFill="1" applyBorder="1" applyAlignment="1" applyProtection="1">
      <alignment horizontal="center" vertical="center" wrapText="1"/>
    </xf>
    <xf numFmtId="167" fontId="10" fillId="2" borderId="24" xfId="14" applyNumberFormat="1" applyFont="1" applyFill="1" applyBorder="1" applyAlignment="1" applyProtection="1">
      <alignment horizontal="center" vertical="center" wrapText="1"/>
    </xf>
    <xf numFmtId="167" fontId="10" fillId="2" borderId="0" xfId="14" applyNumberFormat="1" applyFont="1" applyFill="1" applyBorder="1" applyAlignment="1" applyProtection="1">
      <alignment horizontal="center" vertical="center" wrapText="1"/>
      <protection locked="0"/>
    </xf>
    <xf numFmtId="0" fontId="10" fillId="5" borderId="19" xfId="0" applyFont="1" applyFill="1" applyBorder="1" applyAlignment="1">
      <alignment vertical="center"/>
    </xf>
    <xf numFmtId="0" fontId="10" fillId="5" borderId="17" xfId="0" applyFont="1" applyFill="1" applyBorder="1" applyAlignment="1">
      <alignment vertical="center"/>
    </xf>
    <xf numFmtId="0" fontId="10" fillId="5" borderId="18" xfId="0" applyFont="1" applyFill="1" applyBorder="1" applyAlignment="1">
      <alignment vertical="center"/>
    </xf>
    <xf numFmtId="0" fontId="10" fillId="5" borderId="12" xfId="0" applyFont="1" applyFill="1" applyBorder="1" applyAlignment="1">
      <alignment horizontal="center" vertical="center"/>
    </xf>
    <xf numFmtId="171" fontId="10" fillId="5" borderId="12" xfId="0" applyNumberFormat="1" applyFont="1" applyFill="1" applyBorder="1" applyAlignment="1">
      <alignment vertical="center"/>
    </xf>
    <xf numFmtId="171" fontId="10" fillId="5" borderId="18" xfId="0" applyNumberFormat="1" applyFont="1" applyFill="1" applyBorder="1" applyAlignment="1">
      <alignment vertical="center"/>
    </xf>
    <xf numFmtId="171" fontId="10" fillId="5" borderId="17" xfId="0" applyNumberFormat="1" applyFont="1" applyFill="1" applyBorder="1" applyAlignment="1">
      <alignment vertical="center"/>
    </xf>
    <xf numFmtId="171" fontId="10" fillId="5" borderId="32" xfId="0" applyNumberFormat="1" applyFont="1" applyFill="1" applyBorder="1" applyAlignment="1">
      <alignment vertical="center"/>
    </xf>
    <xf numFmtId="171" fontId="10" fillId="5" borderId="11" xfId="0" applyNumberFormat="1" applyFont="1" applyFill="1" applyBorder="1" applyAlignment="1">
      <alignment vertical="center"/>
    </xf>
    <xf numFmtId="9" fontId="10" fillId="2" borderId="1" xfId="0" applyNumberFormat="1" applyFont="1" applyFill="1" applyBorder="1" applyAlignment="1">
      <alignment horizontal="center" vertical="center"/>
    </xf>
    <xf numFmtId="49" fontId="9" fillId="2" borderId="2" xfId="0" applyNumberFormat="1" applyFont="1" applyFill="1" applyBorder="1" applyAlignment="1" applyProtection="1">
      <alignment horizontal="left" vertical="center"/>
      <protection locked="0"/>
    </xf>
    <xf numFmtId="1" fontId="10" fillId="2" borderId="49" xfId="15" applyNumberFormat="1" applyFont="1" applyFill="1" applyBorder="1" applyAlignment="1" applyProtection="1">
      <alignment horizontal="left" vertical="center"/>
    </xf>
    <xf numFmtId="0" fontId="10" fillId="0" borderId="66" xfId="0" applyFont="1" applyBorder="1" applyAlignment="1">
      <alignment vertical="center"/>
    </xf>
    <xf numFmtId="0" fontId="10" fillId="0" borderId="15" xfId="0" applyFont="1" applyBorder="1" applyAlignment="1">
      <alignment vertical="center"/>
    </xf>
    <xf numFmtId="0" fontId="10" fillId="0" borderId="54" xfId="0" applyFont="1" applyBorder="1" applyAlignment="1">
      <alignment vertical="center"/>
    </xf>
    <xf numFmtId="172" fontId="10" fillId="0" borderId="54" xfId="0" applyNumberFormat="1" applyFont="1" applyBorder="1" applyAlignment="1">
      <alignment horizontal="center" vertical="center" wrapText="1"/>
    </xf>
    <xf numFmtId="173" fontId="10" fillId="0" borderId="54" xfId="16" applyNumberFormat="1" applyFont="1" applyFill="1" applyBorder="1" applyAlignment="1" applyProtection="1">
      <alignment vertical="center" wrapText="1"/>
    </xf>
    <xf numFmtId="173" fontId="10" fillId="0" borderId="60" xfId="16" applyNumberFormat="1" applyFont="1" applyFill="1" applyBorder="1" applyAlignment="1" applyProtection="1">
      <alignment vertical="center" wrapText="1"/>
    </xf>
    <xf numFmtId="173" fontId="10" fillId="0" borderId="53" xfId="16" applyNumberFormat="1" applyFont="1" applyFill="1" applyBorder="1" applyAlignment="1" applyProtection="1">
      <alignment vertical="center" wrapText="1"/>
    </xf>
    <xf numFmtId="170" fontId="25" fillId="2" borderId="0" xfId="0" applyNumberFormat="1" applyFont="1" applyFill="1" applyAlignment="1">
      <alignment horizontal="center" vertical="center" wrapText="1"/>
    </xf>
    <xf numFmtId="0" fontId="26" fillId="2" borderId="0" xfId="0" applyFont="1" applyFill="1" applyAlignment="1">
      <alignment vertical="center"/>
    </xf>
    <xf numFmtId="1" fontId="9" fillId="2" borderId="13" xfId="15" applyNumberFormat="1" applyFont="1" applyFill="1" applyBorder="1" applyAlignment="1" applyProtection="1">
      <alignment horizontal="left" vertical="center"/>
    </xf>
    <xf numFmtId="170" fontId="9" fillId="2" borderId="5" xfId="0" applyNumberFormat="1" applyFont="1" applyFill="1" applyBorder="1" applyAlignment="1">
      <alignment horizontal="center" vertical="center"/>
    </xf>
    <xf numFmtId="170" fontId="9" fillId="0" borderId="5" xfId="0" applyNumberFormat="1" applyFont="1" applyBorder="1" applyAlignment="1">
      <alignment horizontal="center" vertical="center"/>
    </xf>
    <xf numFmtId="170" fontId="9" fillId="0" borderId="37" xfId="0" applyNumberFormat="1" applyFont="1" applyBorder="1" applyAlignment="1">
      <alignment horizontal="center" vertical="center"/>
    </xf>
    <xf numFmtId="170" fontId="9" fillId="8" borderId="4" xfId="15" applyNumberFormat="1" applyFont="1" applyFill="1" applyBorder="1" applyAlignment="1" applyProtection="1">
      <alignment horizontal="center" vertical="center"/>
      <protection locked="0"/>
    </xf>
    <xf numFmtId="170" fontId="9" fillId="0" borderId="35" xfId="0" applyNumberFormat="1" applyFont="1" applyBorder="1" applyAlignment="1">
      <alignment horizontal="center" vertical="center"/>
    </xf>
    <xf numFmtId="1" fontId="20" fillId="2" borderId="0" xfId="0" applyNumberFormat="1" applyFont="1" applyFill="1" applyAlignment="1">
      <alignment vertical="center"/>
    </xf>
    <xf numFmtId="1" fontId="20" fillId="0" borderId="0" xfId="0" applyNumberFormat="1" applyFont="1" applyAlignment="1">
      <alignment vertical="center"/>
    </xf>
    <xf numFmtId="170" fontId="9" fillId="0" borderId="4" xfId="0" applyNumberFormat="1" applyFont="1" applyBorder="1" applyAlignment="1">
      <alignment horizontal="center" vertical="center"/>
    </xf>
    <xf numFmtId="170" fontId="9" fillId="0" borderId="33" xfId="0" applyNumberFormat="1" applyFont="1" applyBorder="1" applyAlignment="1">
      <alignment horizontal="center" vertical="center"/>
    </xf>
    <xf numFmtId="44" fontId="9" fillId="8" borderId="4" xfId="15" applyNumberFormat="1" applyFont="1" applyFill="1" applyBorder="1" applyAlignment="1" applyProtection="1">
      <alignment horizontal="right" vertical="center"/>
      <protection locked="0"/>
    </xf>
    <xf numFmtId="173" fontId="9" fillId="8" borderId="4" xfId="15" applyNumberFormat="1" applyFont="1" applyFill="1" applyBorder="1" applyAlignment="1" applyProtection="1">
      <alignment horizontal="center" vertical="center"/>
      <protection locked="0"/>
    </xf>
    <xf numFmtId="0" fontId="10" fillId="7" borderId="9" xfId="0" applyFont="1" applyFill="1" applyBorder="1" applyAlignment="1">
      <alignment horizontal="center" vertical="center"/>
    </xf>
    <xf numFmtId="173" fontId="10" fillId="7" borderId="9" xfId="0" applyNumberFormat="1" applyFont="1" applyFill="1" applyBorder="1" applyAlignment="1">
      <alignment vertical="center"/>
    </xf>
    <xf numFmtId="170" fontId="10" fillId="7" borderId="41" xfId="0" applyNumberFormat="1" applyFont="1" applyFill="1" applyBorder="1" applyAlignment="1">
      <alignment horizontal="center" vertical="center"/>
    </xf>
    <xf numFmtId="170" fontId="10" fillId="7" borderId="36" xfId="0" applyNumberFormat="1" applyFont="1" applyFill="1" applyBorder="1" applyAlignment="1">
      <alignment horizontal="center" vertical="center"/>
    </xf>
    <xf numFmtId="170" fontId="10" fillId="7" borderId="39" xfId="0" applyNumberFormat="1" applyFont="1" applyFill="1" applyBorder="1" applyAlignment="1">
      <alignment horizontal="center" vertical="center"/>
    </xf>
    <xf numFmtId="170" fontId="10" fillId="7" borderId="20" xfId="0" applyNumberFormat="1" applyFont="1" applyFill="1" applyBorder="1" applyAlignment="1">
      <alignment horizontal="center" vertical="center"/>
    </xf>
    <xf numFmtId="170" fontId="10" fillId="2" borderId="0" xfId="0" applyNumberFormat="1" applyFont="1" applyFill="1" applyAlignment="1">
      <alignment horizontal="center" vertical="center" wrapText="1"/>
    </xf>
    <xf numFmtId="170" fontId="10" fillId="7" borderId="8" xfId="0" applyNumberFormat="1" applyFont="1" applyFill="1" applyBorder="1" applyAlignment="1">
      <alignment horizontal="center" vertical="center"/>
    </xf>
    <xf numFmtId="170" fontId="10" fillId="7" borderId="23" xfId="0" applyNumberFormat="1" applyFont="1" applyFill="1" applyBorder="1" applyAlignment="1">
      <alignment horizontal="center" vertical="center"/>
    </xf>
    <xf numFmtId="170" fontId="10" fillId="7" borderId="9" xfId="0" applyNumberFormat="1" applyFont="1" applyFill="1" applyBorder="1" applyAlignment="1">
      <alignment horizontal="center" vertical="center"/>
    </xf>
    <xf numFmtId="173" fontId="10" fillId="0" borderId="25" xfId="16" applyNumberFormat="1" applyFont="1" applyFill="1" applyBorder="1" applyAlignment="1" applyProtection="1">
      <alignment vertical="center" wrapText="1"/>
    </xf>
    <xf numFmtId="173" fontId="10" fillId="0" borderId="15" xfId="16" applyNumberFormat="1" applyFont="1" applyFill="1" applyBorder="1" applyAlignment="1" applyProtection="1">
      <alignment vertical="center" wrapText="1"/>
    </xf>
    <xf numFmtId="173" fontId="10" fillId="0" borderId="42" xfId="16" applyNumberFormat="1" applyFont="1" applyFill="1" applyBorder="1" applyAlignment="1" applyProtection="1">
      <alignment vertical="center" wrapText="1"/>
    </xf>
    <xf numFmtId="1" fontId="26" fillId="2" borderId="0" xfId="0" applyNumberFormat="1" applyFont="1" applyFill="1" applyAlignment="1">
      <alignment vertical="center"/>
    </xf>
    <xf numFmtId="1" fontId="9" fillId="2" borderId="0" xfId="0" applyNumberFormat="1" applyFont="1" applyFill="1" applyAlignment="1">
      <alignment vertical="center"/>
    </xf>
    <xf numFmtId="1" fontId="26" fillId="0" borderId="0" xfId="0" applyNumberFormat="1" applyFont="1" applyAlignment="1">
      <alignment vertical="center"/>
    </xf>
    <xf numFmtId="173" fontId="9" fillId="0" borderId="4" xfId="0" applyNumberFormat="1" applyFont="1" applyBorder="1" applyAlignment="1">
      <alignment vertical="center"/>
    </xf>
    <xf numFmtId="170" fontId="9" fillId="8" borderId="7" xfId="15" applyNumberFormat="1" applyFont="1" applyFill="1" applyBorder="1" applyAlignment="1" applyProtection="1">
      <alignment horizontal="center" vertical="center"/>
      <protection locked="0"/>
    </xf>
    <xf numFmtId="0" fontId="20" fillId="0" borderId="0" xfId="0" applyFont="1" applyAlignment="1">
      <alignment vertical="center"/>
    </xf>
    <xf numFmtId="0" fontId="9" fillId="8" borderId="21" xfId="15" applyNumberFormat="1" applyFont="1" applyFill="1" applyBorder="1" applyAlignment="1" applyProtection="1">
      <alignment horizontal="center" vertical="center"/>
      <protection locked="0"/>
    </xf>
    <xf numFmtId="173" fontId="9" fillId="0" borderId="21" xfId="0" applyNumberFormat="1" applyFont="1" applyBorder="1" applyAlignment="1">
      <alignment vertical="center"/>
    </xf>
    <xf numFmtId="0" fontId="9" fillId="8" borderId="7" xfId="15" applyNumberFormat="1" applyFont="1" applyFill="1" applyBorder="1" applyAlignment="1" applyProtection="1">
      <alignment horizontal="center" vertical="center"/>
      <protection locked="0"/>
    </xf>
    <xf numFmtId="0" fontId="9" fillId="2" borderId="53" xfId="0" applyFont="1" applyFill="1" applyBorder="1" applyAlignment="1">
      <alignment vertical="center"/>
    </xf>
    <xf numFmtId="0" fontId="10" fillId="2" borderId="54" xfId="0" applyFont="1" applyFill="1" applyBorder="1" applyAlignment="1">
      <alignment vertical="center" wrapText="1"/>
    </xf>
    <xf numFmtId="170" fontId="10" fillId="2" borderId="0" xfId="0" applyNumberFormat="1" applyFont="1" applyFill="1" applyAlignment="1">
      <alignment horizontal="center" vertical="center"/>
    </xf>
    <xf numFmtId="49" fontId="26" fillId="2" borderId="0" xfId="0" applyNumberFormat="1" applyFont="1" applyFill="1" applyAlignment="1" applyProtection="1">
      <alignment horizontal="left" vertical="center"/>
      <protection locked="0"/>
    </xf>
    <xf numFmtId="0" fontId="26" fillId="0" borderId="0" xfId="0" applyFont="1" applyAlignment="1">
      <alignment vertical="center"/>
    </xf>
    <xf numFmtId="0" fontId="26" fillId="2" borderId="0" xfId="0" applyFont="1" applyFill="1" applyAlignment="1">
      <alignment horizontal="left" vertical="center"/>
    </xf>
    <xf numFmtId="0" fontId="24" fillId="2" borderId="0" xfId="0" applyFont="1" applyFill="1" applyAlignment="1">
      <alignment vertical="center"/>
    </xf>
    <xf numFmtId="0" fontId="9" fillId="2" borderId="51" xfId="0" applyFont="1" applyFill="1" applyBorder="1" applyAlignment="1">
      <alignment vertical="center"/>
    </xf>
    <xf numFmtId="0" fontId="9" fillId="2" borderId="23" xfId="0" applyFont="1" applyFill="1" applyBorder="1" applyAlignment="1">
      <alignment horizontal="right" vertical="center" wrapText="1"/>
    </xf>
    <xf numFmtId="0" fontId="24" fillId="0" borderId="23" xfId="0" applyFont="1" applyBorder="1" applyAlignment="1">
      <alignment vertical="center"/>
    </xf>
    <xf numFmtId="0" fontId="10" fillId="2" borderId="23" xfId="0" applyFont="1" applyFill="1" applyBorder="1" applyAlignment="1">
      <alignment vertical="center" wrapText="1"/>
    </xf>
    <xf numFmtId="0" fontId="10" fillId="2" borderId="41" xfId="0" applyFont="1" applyFill="1" applyBorder="1" applyAlignment="1">
      <alignment horizontal="right" vertical="center"/>
    </xf>
    <xf numFmtId="170" fontId="10" fillId="2" borderId="23" xfId="0" applyNumberFormat="1" applyFont="1" applyFill="1" applyBorder="1" applyAlignment="1">
      <alignment horizontal="center" vertical="center"/>
    </xf>
    <xf numFmtId="170" fontId="10" fillId="2" borderId="36" xfId="0" applyNumberFormat="1" applyFont="1" applyFill="1" applyBorder="1" applyAlignment="1">
      <alignment horizontal="center" vertical="center"/>
    </xf>
    <xf numFmtId="170" fontId="10" fillId="2" borderId="55" xfId="0" applyNumberFormat="1" applyFont="1" applyFill="1" applyBorder="1" applyAlignment="1">
      <alignment horizontal="center" vertical="center"/>
    </xf>
    <xf numFmtId="0" fontId="10" fillId="5" borderId="51" xfId="0" applyFont="1" applyFill="1" applyBorder="1" applyAlignment="1">
      <alignment vertical="center"/>
    </xf>
    <xf numFmtId="0" fontId="10" fillId="5" borderId="67" xfId="0" applyFont="1" applyFill="1" applyBorder="1" applyAlignment="1">
      <alignment vertical="center"/>
    </xf>
    <xf numFmtId="0" fontId="10" fillId="5" borderId="23" xfId="0" applyFont="1" applyFill="1" applyBorder="1" applyAlignment="1">
      <alignment vertical="center"/>
    </xf>
    <xf numFmtId="0" fontId="10" fillId="5" borderId="41" xfId="0" applyFont="1" applyFill="1" applyBorder="1" applyAlignment="1">
      <alignment vertical="center"/>
    </xf>
    <xf numFmtId="171" fontId="10" fillId="5" borderId="23" xfId="0" applyNumberFormat="1" applyFont="1" applyFill="1" applyBorder="1" applyAlignment="1">
      <alignment vertical="center"/>
    </xf>
    <xf numFmtId="171" fontId="10" fillId="5" borderId="67" xfId="0" applyNumberFormat="1" applyFont="1" applyFill="1" applyBorder="1" applyAlignment="1">
      <alignment vertical="center"/>
    </xf>
    <xf numFmtId="171" fontId="10" fillId="5" borderId="55" xfId="0" applyNumberFormat="1" applyFont="1" applyFill="1" applyBorder="1" applyAlignment="1">
      <alignment vertical="center"/>
    </xf>
    <xf numFmtId="171" fontId="10" fillId="5" borderId="34" xfId="0" applyNumberFormat="1" applyFont="1" applyFill="1" applyBorder="1" applyAlignment="1">
      <alignment vertical="center"/>
    </xf>
    <xf numFmtId="0" fontId="9" fillId="2" borderId="49" xfId="0" applyFont="1" applyFill="1" applyBorder="1" applyAlignment="1">
      <alignment vertical="center"/>
    </xf>
    <xf numFmtId="49" fontId="9" fillId="0" borderId="59" xfId="0" applyNumberFormat="1" applyFont="1" applyBorder="1" applyAlignment="1">
      <alignment vertical="center"/>
    </xf>
    <xf numFmtId="49" fontId="9" fillId="0" borderId="54" xfId="0" applyNumberFormat="1" applyFont="1" applyBorder="1" applyAlignment="1">
      <alignment vertical="center"/>
    </xf>
    <xf numFmtId="170" fontId="9" fillId="8" borderId="22" xfId="0" applyNumberFormat="1" applyFont="1" applyFill="1" applyBorder="1" applyAlignment="1" applyProtection="1">
      <alignment vertical="center"/>
      <protection locked="0"/>
    </xf>
    <xf numFmtId="170" fontId="9" fillId="2" borderId="22" xfId="0" applyNumberFormat="1" applyFont="1" applyFill="1" applyBorder="1" applyAlignment="1">
      <alignment horizontal="center" vertical="center"/>
    </xf>
    <xf numFmtId="170" fontId="9" fillId="2" borderId="60" xfId="0" applyNumberFormat="1" applyFont="1" applyFill="1" applyBorder="1" applyAlignment="1">
      <alignment horizontal="center" vertical="center"/>
    </xf>
    <xf numFmtId="170" fontId="9" fillId="8" borderId="49" xfId="15" applyNumberFormat="1" applyFont="1" applyFill="1" applyBorder="1" applyAlignment="1" applyProtection="1">
      <alignment horizontal="center" vertical="center"/>
      <protection locked="0"/>
    </xf>
    <xf numFmtId="170" fontId="9" fillId="8" borderId="22" xfId="15" applyNumberFormat="1" applyFont="1" applyFill="1" applyBorder="1" applyAlignment="1" applyProtection="1">
      <alignment horizontal="center" vertical="center"/>
      <protection locked="0"/>
    </xf>
    <xf numFmtId="170" fontId="9" fillId="8" borderId="40" xfId="15" applyNumberFormat="1" applyFont="1" applyFill="1" applyBorder="1" applyAlignment="1" applyProtection="1">
      <alignment horizontal="center" vertical="center"/>
      <protection locked="0"/>
    </xf>
    <xf numFmtId="170" fontId="9" fillId="0" borderId="52" xfId="0" applyNumberFormat="1" applyFont="1" applyBorder="1" applyAlignment="1">
      <alignment horizontal="center" vertical="center"/>
    </xf>
    <xf numFmtId="170" fontId="9" fillId="2" borderId="0" xfId="0" applyNumberFormat="1" applyFont="1" applyFill="1" applyAlignment="1">
      <alignment vertical="center"/>
    </xf>
    <xf numFmtId="49" fontId="9" fillId="2" borderId="0" xfId="0" applyNumberFormat="1" applyFont="1" applyFill="1" applyAlignment="1" applyProtection="1">
      <alignment horizontal="left" vertical="center"/>
      <protection locked="0"/>
    </xf>
    <xf numFmtId="49" fontId="9" fillId="0" borderId="3" xfId="0" applyNumberFormat="1" applyFont="1" applyBorder="1" applyAlignment="1">
      <alignment vertical="center"/>
    </xf>
    <xf numFmtId="49" fontId="9" fillId="0" borderId="1" xfId="0" applyNumberFormat="1" applyFont="1" applyBorder="1" applyAlignment="1">
      <alignment vertical="center"/>
    </xf>
    <xf numFmtId="170" fontId="9" fillId="8" borderId="4" xfId="0" applyNumberFormat="1" applyFont="1" applyFill="1" applyBorder="1" applyAlignment="1" applyProtection="1">
      <alignment vertical="center"/>
      <protection locked="0"/>
    </xf>
    <xf numFmtId="170" fontId="9" fillId="2" borderId="37" xfId="0" applyNumberFormat="1" applyFont="1" applyFill="1" applyBorder="1" applyAlignment="1">
      <alignment horizontal="center" vertical="center"/>
    </xf>
    <xf numFmtId="170" fontId="9" fillId="8" borderId="2" xfId="15" applyNumberFormat="1" applyFont="1" applyFill="1" applyBorder="1" applyAlignment="1" applyProtection="1">
      <alignment horizontal="center" vertical="center"/>
      <protection locked="0"/>
    </xf>
    <xf numFmtId="0" fontId="9" fillId="2" borderId="8" xfId="0" applyFont="1" applyFill="1" applyBorder="1" applyAlignment="1">
      <alignment vertical="center"/>
    </xf>
    <xf numFmtId="0" fontId="9" fillId="0" borderId="65" xfId="0" applyFont="1" applyBorder="1" applyAlignment="1">
      <alignment vertical="center"/>
    </xf>
    <xf numFmtId="0" fontId="9" fillId="0" borderId="10" xfId="0" applyFont="1" applyBorder="1" applyAlignment="1">
      <alignment vertical="center"/>
    </xf>
    <xf numFmtId="0" fontId="9" fillId="0" borderId="16" xfId="0" applyFont="1" applyBorder="1" applyAlignment="1">
      <alignment vertical="center"/>
    </xf>
    <xf numFmtId="170" fontId="9" fillId="8" borderId="9" xfId="0" applyNumberFormat="1" applyFont="1" applyFill="1" applyBorder="1" applyAlignment="1" applyProtection="1">
      <alignment vertical="center"/>
      <protection locked="0"/>
    </xf>
    <xf numFmtId="170" fontId="9" fillId="2" borderId="36" xfId="0" applyNumberFormat="1" applyFont="1" applyFill="1" applyBorder="1" applyAlignment="1">
      <alignment horizontal="center" vertical="center"/>
    </xf>
    <xf numFmtId="170" fontId="9" fillId="2" borderId="39" xfId="0" applyNumberFormat="1" applyFont="1" applyFill="1" applyBorder="1" applyAlignment="1">
      <alignment horizontal="center" vertical="center"/>
    </xf>
    <xf numFmtId="170" fontId="9" fillId="8" borderId="8" xfId="15" applyNumberFormat="1" applyFont="1" applyFill="1" applyBorder="1" applyAlignment="1" applyProtection="1">
      <alignment horizontal="center" vertical="center"/>
      <protection locked="0"/>
    </xf>
    <xf numFmtId="170" fontId="9" fillId="8" borderId="9" xfId="15" applyNumberFormat="1" applyFont="1" applyFill="1" applyBorder="1" applyAlignment="1" applyProtection="1">
      <alignment horizontal="center" vertical="center"/>
      <protection locked="0"/>
    </xf>
    <xf numFmtId="170" fontId="9" fillId="8" borderId="16" xfId="15" applyNumberFormat="1" applyFont="1" applyFill="1" applyBorder="1" applyAlignment="1" applyProtection="1">
      <alignment horizontal="center" vertical="center"/>
      <protection locked="0"/>
    </xf>
    <xf numFmtId="170" fontId="9" fillId="0" borderId="50" xfId="0" applyNumberFormat="1" applyFont="1" applyBorder="1" applyAlignment="1">
      <alignment horizontal="center" vertical="center"/>
    </xf>
    <xf numFmtId="0" fontId="9" fillId="2" borderId="26" xfId="0" applyFont="1" applyFill="1" applyBorder="1" applyAlignment="1">
      <alignment vertical="center"/>
    </xf>
    <xf numFmtId="0" fontId="9" fillId="2" borderId="0" xfId="0" applyFont="1" applyFill="1" applyAlignment="1">
      <alignment horizontal="right" vertical="center" wrapText="1"/>
    </xf>
    <xf numFmtId="0" fontId="10" fillId="2" borderId="0" xfId="0" applyFont="1" applyFill="1" applyAlignment="1">
      <alignment vertical="center" wrapText="1"/>
    </xf>
    <xf numFmtId="170" fontId="10" fillId="2" borderId="12" xfId="0" applyNumberFormat="1" applyFont="1" applyFill="1" applyBorder="1" applyAlignment="1">
      <alignment horizontal="center" vertical="center"/>
    </xf>
    <xf numFmtId="0" fontId="10" fillId="5" borderId="38" xfId="0" applyFont="1" applyFill="1" applyBorder="1" applyAlignment="1">
      <alignment vertical="center"/>
    </xf>
    <xf numFmtId="170" fontId="10" fillId="5" borderId="12" xfId="0" applyNumberFormat="1" applyFont="1" applyFill="1" applyBorder="1" applyAlignment="1">
      <alignment horizontal="right" vertical="center"/>
    </xf>
    <xf numFmtId="170" fontId="10" fillId="5" borderId="17" xfId="0" applyNumberFormat="1" applyFont="1" applyFill="1" applyBorder="1" applyAlignment="1">
      <alignment horizontal="right" vertical="center"/>
    </xf>
    <xf numFmtId="9" fontId="10" fillId="2" borderId="48" xfId="0" applyNumberFormat="1" applyFont="1" applyFill="1" applyBorder="1" applyAlignment="1">
      <alignment horizontal="center" vertical="center"/>
    </xf>
    <xf numFmtId="170" fontId="9" fillId="0" borderId="0" xfId="0" applyNumberFormat="1" applyFont="1" applyAlignment="1">
      <alignment vertical="center"/>
    </xf>
    <xf numFmtId="0" fontId="9" fillId="2" borderId="19" xfId="0" applyFont="1" applyFill="1" applyBorder="1" applyAlignment="1">
      <alignment vertical="center"/>
    </xf>
    <xf numFmtId="0" fontId="24" fillId="0" borderId="18" xfId="0" applyFont="1" applyBorder="1" applyAlignment="1">
      <alignment vertical="center"/>
    </xf>
    <xf numFmtId="0" fontId="10" fillId="2" borderId="18" xfId="0" applyFont="1" applyFill="1" applyBorder="1" applyAlignment="1">
      <alignment vertical="center" wrapText="1"/>
    </xf>
    <xf numFmtId="0" fontId="10" fillId="2" borderId="38" xfId="0" applyFont="1" applyFill="1" applyBorder="1" applyAlignment="1">
      <alignment horizontal="right" vertical="center"/>
    </xf>
    <xf numFmtId="170" fontId="10" fillId="2" borderId="32" xfId="0" applyNumberFormat="1" applyFont="1" applyFill="1" applyBorder="1" applyAlignment="1">
      <alignment horizontal="center" vertical="center"/>
    </xf>
    <xf numFmtId="0" fontId="9" fillId="2" borderId="0" xfId="16" applyNumberFormat="1" applyFont="1" applyFill="1" applyBorder="1" applyAlignment="1" applyProtection="1">
      <alignment horizontal="center" vertical="center"/>
    </xf>
    <xf numFmtId="170" fontId="10" fillId="2" borderId="39" xfId="0" applyNumberFormat="1" applyFont="1" applyFill="1" applyBorder="1" applyAlignment="1">
      <alignment horizontal="center" vertical="center"/>
    </xf>
    <xf numFmtId="0" fontId="10" fillId="2" borderId="11" xfId="0" applyFont="1" applyFill="1" applyBorder="1" applyAlignment="1">
      <alignment horizontal="center"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167" fontId="10" fillId="2" borderId="25" xfId="14" applyNumberFormat="1" applyFont="1" applyFill="1" applyBorder="1" applyAlignment="1" applyProtection="1">
      <alignment horizontal="center" vertical="center" wrapText="1"/>
    </xf>
    <xf numFmtId="167" fontId="10" fillId="2" borderId="0" xfId="14" applyNumberFormat="1" applyFont="1" applyFill="1" applyBorder="1" applyAlignment="1" applyProtection="1">
      <alignment horizontal="center" vertical="center" wrapText="1"/>
    </xf>
    <xf numFmtId="49" fontId="10" fillId="2" borderId="0" xfId="0" applyNumberFormat="1" applyFont="1" applyFill="1" applyAlignment="1" applyProtection="1">
      <alignment horizontal="left" vertical="center"/>
      <protection locked="0"/>
    </xf>
    <xf numFmtId="0" fontId="9" fillId="2" borderId="13" xfId="0" applyFont="1" applyFill="1" applyBorder="1" applyAlignment="1">
      <alignment vertical="center"/>
    </xf>
    <xf numFmtId="0" fontId="9" fillId="0" borderId="59" xfId="0" applyFont="1" applyBorder="1" applyAlignment="1">
      <alignment vertical="center"/>
    </xf>
    <xf numFmtId="0" fontId="9" fillId="0" borderId="54" xfId="0" applyFont="1" applyBorder="1" applyAlignment="1">
      <alignment vertical="center"/>
    </xf>
    <xf numFmtId="0" fontId="9" fillId="0" borderId="14" xfId="0" applyFont="1" applyBorder="1" applyAlignment="1">
      <alignment vertical="center"/>
    </xf>
    <xf numFmtId="170" fontId="9" fillId="8" borderId="13" xfId="15" applyNumberFormat="1" applyFont="1" applyFill="1" applyBorder="1" applyAlignment="1" applyProtection="1">
      <alignment horizontal="center" vertical="center"/>
      <protection locked="0"/>
    </xf>
    <xf numFmtId="170" fontId="9" fillId="8" borderId="5" xfId="15" applyNumberFormat="1" applyFont="1" applyFill="1" applyBorder="1" applyAlignment="1" applyProtection="1">
      <alignment horizontal="center" vertical="center"/>
      <protection locked="0"/>
    </xf>
    <xf numFmtId="0" fontId="9" fillId="8" borderId="5" xfId="15" applyNumberFormat="1" applyFont="1" applyFill="1" applyBorder="1" applyAlignment="1" applyProtection="1">
      <alignment horizontal="center" vertical="center"/>
      <protection locked="0"/>
    </xf>
    <xf numFmtId="0" fontId="9" fillId="0" borderId="63" xfId="0" applyFont="1" applyBorder="1" applyAlignment="1">
      <alignment vertical="center"/>
    </xf>
    <xf numFmtId="0" fontId="9" fillId="0" borderId="24"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173" fontId="10" fillId="2" borderId="0" xfId="16" applyNumberFormat="1" applyFont="1" applyFill="1" applyBorder="1" applyAlignment="1" applyProtection="1">
      <alignment horizontal="center" vertical="center" wrapText="1"/>
    </xf>
    <xf numFmtId="0" fontId="9" fillId="2" borderId="0" xfId="0" applyFont="1" applyFill="1" applyAlignment="1" applyProtection="1">
      <alignment horizontal="left" vertical="center"/>
      <protection locked="0"/>
    </xf>
    <xf numFmtId="49" fontId="9" fillId="2" borderId="1" xfId="0" applyNumberFormat="1" applyFont="1" applyFill="1" applyBorder="1" applyAlignment="1" applyProtection="1">
      <alignment horizontal="left" vertical="center"/>
      <protection locked="0"/>
    </xf>
    <xf numFmtId="9" fontId="10" fillId="2" borderId="3" xfId="12" applyFont="1" applyFill="1" applyBorder="1" applyAlignment="1" applyProtection="1">
      <alignment horizontal="center" vertical="center"/>
    </xf>
    <xf numFmtId="0" fontId="9" fillId="0" borderId="18" xfId="0" applyFont="1" applyBorder="1" applyAlignment="1">
      <alignment vertical="center"/>
    </xf>
    <xf numFmtId="0" fontId="24" fillId="0" borderId="25" xfId="0" applyFont="1" applyBorder="1" applyAlignment="1">
      <alignment vertical="center"/>
    </xf>
    <xf numFmtId="0" fontId="24" fillId="0" borderId="15" xfId="0" applyFont="1" applyBorder="1" applyAlignment="1">
      <alignment horizontal="left" vertical="center"/>
    </xf>
    <xf numFmtId="9" fontId="24" fillId="0" borderId="15" xfId="0" applyNumberFormat="1" applyFont="1" applyBorder="1" applyAlignment="1">
      <alignment horizontal="left" vertical="center"/>
    </xf>
    <xf numFmtId="9" fontId="24" fillId="0" borderId="42" xfId="0" applyNumberFormat="1" applyFont="1" applyBorder="1" applyAlignment="1">
      <alignment horizontal="left" vertical="center"/>
    </xf>
    <xf numFmtId="9" fontId="24" fillId="0" borderId="0" xfId="0" applyNumberFormat="1" applyFont="1" applyAlignment="1">
      <alignment horizontal="left" vertical="center"/>
    </xf>
    <xf numFmtId="170" fontId="9" fillId="2" borderId="0" xfId="0" applyNumberFormat="1" applyFont="1" applyFill="1" applyAlignment="1">
      <alignment horizontal="right" vertical="center"/>
    </xf>
    <xf numFmtId="0" fontId="11" fillId="3" borderId="19"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8" xfId="0" applyFont="1" applyFill="1" applyBorder="1" applyAlignment="1">
      <alignment horizontal="right" vertical="center"/>
    </xf>
    <xf numFmtId="0" fontId="20" fillId="3" borderId="18" xfId="0" applyFont="1" applyFill="1" applyBorder="1" applyAlignment="1">
      <alignment vertical="center"/>
    </xf>
    <xf numFmtId="0" fontId="11" fillId="3" borderId="38" xfId="0" applyFont="1" applyFill="1" applyBorder="1" applyAlignment="1">
      <alignment horizontal="center" vertical="center"/>
    </xf>
    <xf numFmtId="170" fontId="11" fillId="3" borderId="38" xfId="0" applyNumberFormat="1" applyFont="1" applyFill="1" applyBorder="1" applyAlignment="1">
      <alignment horizontal="center" vertical="center"/>
    </xf>
    <xf numFmtId="170" fontId="11" fillId="3" borderId="34" xfId="0" applyNumberFormat="1" applyFont="1" applyFill="1" applyBorder="1" applyAlignment="1">
      <alignment horizontal="center" vertical="center"/>
    </xf>
    <xf numFmtId="0" fontId="9" fillId="0" borderId="54" xfId="0" applyFont="1" applyBorder="1" applyAlignment="1">
      <alignment vertical="center" wrapText="1"/>
    </xf>
    <xf numFmtId="0" fontId="10" fillId="0" borderId="54" xfId="0" applyFont="1" applyBorder="1" applyAlignment="1">
      <alignment horizontal="right" vertical="center"/>
    </xf>
    <xf numFmtId="170" fontId="10" fillId="2" borderId="22" xfId="0" applyNumberFormat="1" applyFont="1" applyFill="1" applyBorder="1" applyAlignment="1">
      <alignment horizontal="center" vertical="center"/>
    </xf>
    <xf numFmtId="170" fontId="10" fillId="0" borderId="22" xfId="0" applyNumberFormat="1" applyFont="1" applyBorder="1" applyAlignment="1">
      <alignment horizontal="center" vertical="center"/>
    </xf>
    <xf numFmtId="170" fontId="10" fillId="0" borderId="60" xfId="0" applyNumberFormat="1" applyFont="1" applyBorder="1" applyAlignment="1">
      <alignment horizontal="center" vertical="center"/>
    </xf>
    <xf numFmtId="9" fontId="9" fillId="0" borderId="0" xfId="12" applyFont="1" applyFill="1" applyBorder="1" applyAlignment="1" applyProtection="1">
      <alignment horizontal="center" vertical="center"/>
    </xf>
    <xf numFmtId="170" fontId="9" fillId="0" borderId="0" xfId="0" applyNumberFormat="1" applyFont="1" applyAlignment="1">
      <alignment horizontal="center" vertical="center"/>
    </xf>
    <xf numFmtId="0" fontId="9" fillId="0" borderId="23" xfId="0" applyFont="1" applyBorder="1" applyAlignment="1">
      <alignment vertical="center"/>
    </xf>
    <xf numFmtId="0" fontId="9" fillId="0" borderId="23" xfId="0" applyFont="1" applyBorder="1" applyAlignment="1">
      <alignment vertical="center" wrapText="1"/>
    </xf>
    <xf numFmtId="0" fontId="10" fillId="0" borderId="23" xfId="0" applyFont="1" applyBorder="1" applyAlignment="1">
      <alignment horizontal="right" vertical="center"/>
    </xf>
    <xf numFmtId="0" fontId="9" fillId="0" borderId="0" xfId="0" applyFont="1" applyAlignment="1">
      <alignment horizontal="left" vertical="center"/>
    </xf>
    <xf numFmtId="169" fontId="9" fillId="2" borderId="0" xfId="0" applyNumberFormat="1" applyFont="1" applyFill="1" applyAlignment="1">
      <alignment horizontal="right" vertical="center"/>
    </xf>
    <xf numFmtId="0" fontId="9" fillId="0" borderId="26" xfId="0" applyFont="1" applyBorder="1" applyAlignment="1">
      <alignment vertical="center"/>
    </xf>
    <xf numFmtId="167" fontId="9" fillId="0" borderId="18" xfId="14" applyNumberFormat="1" applyFont="1" applyBorder="1" applyAlignment="1" applyProtection="1">
      <alignment vertical="center"/>
    </xf>
    <xf numFmtId="167" fontId="9" fillId="0" borderId="34" xfId="14" applyNumberFormat="1" applyFont="1" applyBorder="1" applyAlignment="1" applyProtection="1">
      <alignment vertical="center"/>
    </xf>
    <xf numFmtId="167" fontId="9" fillId="0" borderId="0" xfId="14" applyNumberFormat="1" applyFont="1" applyBorder="1" applyAlignment="1" applyProtection="1">
      <alignment vertical="center"/>
    </xf>
    <xf numFmtId="167" fontId="10" fillId="2" borderId="38" xfId="14" applyNumberFormat="1" applyFont="1" applyFill="1" applyBorder="1" applyAlignment="1" applyProtection="1">
      <alignment horizontal="center" vertical="center" wrapText="1"/>
    </xf>
    <xf numFmtId="167" fontId="10" fillId="2" borderId="29" xfId="14" applyNumberFormat="1" applyFont="1" applyFill="1" applyBorder="1" applyAlignment="1" applyProtection="1">
      <alignment horizontal="center" vertical="center" wrapText="1"/>
    </xf>
    <xf numFmtId="167" fontId="10" fillId="2" borderId="15" xfId="14" applyNumberFormat="1" applyFont="1" applyFill="1" applyBorder="1" applyAlignment="1" applyProtection="1">
      <alignment horizontal="center" vertical="center" wrapText="1"/>
    </xf>
    <xf numFmtId="167" fontId="10" fillId="2" borderId="56" xfId="14" applyNumberFormat="1" applyFont="1" applyFill="1" applyBorder="1" applyAlignment="1" applyProtection="1">
      <alignment horizontal="center" vertical="center" wrapText="1"/>
    </xf>
    <xf numFmtId="0" fontId="10" fillId="0" borderId="54" xfId="0" applyFont="1" applyBorder="1" applyAlignment="1">
      <alignment vertical="center" wrapText="1"/>
    </xf>
    <xf numFmtId="0" fontId="10" fillId="0" borderId="40" xfId="0" applyFont="1" applyBorder="1" applyAlignment="1">
      <alignment vertical="center" wrapText="1"/>
    </xf>
    <xf numFmtId="170" fontId="9" fillId="0" borderId="22" xfId="0" applyNumberFormat="1" applyFont="1" applyBorder="1" applyAlignment="1">
      <alignment horizontal="center" vertical="center"/>
    </xf>
    <xf numFmtId="170" fontId="9" fillId="0" borderId="42" xfId="0" applyNumberFormat="1" applyFont="1" applyBorder="1" applyAlignment="1">
      <alignment horizontal="center" vertical="center"/>
    </xf>
    <xf numFmtId="0" fontId="9" fillId="8" borderId="22" xfId="15" applyNumberFormat="1" applyFont="1" applyFill="1" applyBorder="1" applyAlignment="1" applyProtection="1">
      <alignment horizontal="center" vertical="center"/>
      <protection locked="0"/>
    </xf>
    <xf numFmtId="0" fontId="10" fillId="0" borderId="10" xfId="0" applyFont="1" applyBorder="1" applyAlignment="1">
      <alignment vertical="center" wrapText="1"/>
    </xf>
    <xf numFmtId="0" fontId="10" fillId="0" borderId="16" xfId="0" applyFont="1" applyBorder="1" applyAlignment="1">
      <alignment vertical="center" wrapText="1"/>
    </xf>
    <xf numFmtId="170" fontId="9" fillId="0" borderId="36" xfId="0" applyNumberFormat="1" applyFont="1" applyBorder="1" applyAlignment="1">
      <alignment horizontal="center" vertical="center"/>
    </xf>
    <xf numFmtId="170" fontId="9" fillId="10" borderId="36" xfId="0" applyNumberFormat="1" applyFont="1" applyFill="1" applyBorder="1" applyAlignment="1">
      <alignment horizontal="center" vertical="center"/>
    </xf>
    <xf numFmtId="170" fontId="9" fillId="0" borderId="58" xfId="0" applyNumberFormat="1" applyFont="1" applyBorder="1" applyAlignment="1">
      <alignment horizontal="center" vertical="center"/>
    </xf>
    <xf numFmtId="0" fontId="9" fillId="8" borderId="9" xfId="15" applyNumberFormat="1" applyFont="1" applyFill="1" applyBorder="1" applyAlignment="1" applyProtection="1">
      <alignment horizontal="center" vertical="center"/>
      <protection locked="0"/>
    </xf>
    <xf numFmtId="0" fontId="24" fillId="0" borderId="26" xfId="0" applyFont="1" applyBorder="1" applyAlignment="1">
      <alignment horizontal="left" vertical="center"/>
    </xf>
    <xf numFmtId="0" fontId="24" fillId="0" borderId="0" xfId="0" applyFont="1" applyAlignment="1">
      <alignment horizontal="left" vertical="center"/>
    </xf>
    <xf numFmtId="0" fontId="24" fillId="0" borderId="23" xfId="0" applyFont="1" applyBorder="1" applyAlignment="1">
      <alignment horizontal="left" vertical="center"/>
    </xf>
    <xf numFmtId="1" fontId="24" fillId="0" borderId="0" xfId="0" applyNumberFormat="1" applyFont="1" applyAlignment="1">
      <alignment horizontal="left" vertical="center"/>
    </xf>
    <xf numFmtId="1" fontId="24" fillId="0" borderId="34" xfId="0" applyNumberFormat="1" applyFont="1" applyBorder="1" applyAlignment="1">
      <alignment horizontal="left" vertical="center"/>
    </xf>
    <xf numFmtId="174" fontId="9" fillId="2" borderId="0" xfId="0" applyNumberFormat="1" applyFont="1" applyFill="1" applyAlignment="1" applyProtection="1">
      <alignment horizontal="left" vertical="center"/>
      <protection locked="0"/>
    </xf>
    <xf numFmtId="174" fontId="9" fillId="2" borderId="0" xfId="0" applyNumberFormat="1" applyFont="1" applyFill="1" applyAlignment="1">
      <alignment horizontal="left" vertical="center"/>
    </xf>
    <xf numFmtId="174" fontId="9" fillId="0" borderId="0" xfId="0" applyNumberFormat="1" applyFont="1" applyAlignment="1">
      <alignment horizontal="left" vertical="center"/>
    </xf>
    <xf numFmtId="0" fontId="9" fillId="0" borderId="18" xfId="0" applyFont="1" applyBorder="1" applyAlignment="1">
      <alignment vertical="center" wrapText="1"/>
    </xf>
    <xf numFmtId="0" fontId="10" fillId="0" borderId="18" xfId="0" applyFont="1" applyBorder="1" applyAlignment="1">
      <alignment horizontal="right" vertical="center"/>
    </xf>
    <xf numFmtId="170" fontId="9" fillId="10" borderId="12" xfId="0" applyNumberFormat="1" applyFont="1" applyFill="1" applyBorder="1" applyAlignment="1">
      <alignment horizontal="center" vertical="center"/>
    </xf>
    <xf numFmtId="170" fontId="9" fillId="0" borderId="34" xfId="0" applyNumberFormat="1" applyFont="1" applyBorder="1" applyAlignment="1">
      <alignment horizontal="center" vertical="center"/>
    </xf>
    <xf numFmtId="170" fontId="10" fillId="0" borderId="0" xfId="0" applyNumberFormat="1" applyFont="1" applyAlignment="1">
      <alignment horizontal="center" vertical="center"/>
    </xf>
    <xf numFmtId="0" fontId="19" fillId="7" borderId="10" xfId="10" applyFont="1" applyFill="1" applyBorder="1" applyAlignment="1">
      <alignment horizontal="center" vertical="center"/>
    </xf>
    <xf numFmtId="0" fontId="12" fillId="3" borderId="49" xfId="10" applyFont="1" applyFill="1" applyBorder="1" applyAlignment="1">
      <alignment horizontal="center" vertical="center" wrapText="1"/>
    </xf>
    <xf numFmtId="0" fontId="12" fillId="3" borderId="22" xfId="10" applyFont="1" applyFill="1" applyBorder="1" applyAlignment="1">
      <alignment horizontal="center" vertical="center" wrapText="1"/>
    </xf>
    <xf numFmtId="0" fontId="12" fillId="3" borderId="52" xfId="10" applyFont="1" applyFill="1" applyBorder="1" applyAlignment="1">
      <alignment horizontal="center" vertical="center" wrapText="1"/>
    </xf>
    <xf numFmtId="1" fontId="14" fillId="6" borderId="7" xfId="12" applyNumberFormat="1" applyFont="1" applyFill="1" applyBorder="1" applyAlignment="1" applyProtection="1">
      <alignment horizontal="center" vertical="center"/>
    </xf>
    <xf numFmtId="170" fontId="9" fillId="2" borderId="67" xfId="0" applyNumberFormat="1" applyFont="1" applyFill="1" applyBorder="1" applyAlignment="1">
      <alignment horizontal="center" vertical="center"/>
    </xf>
    <xf numFmtId="170" fontId="9" fillId="2" borderId="26" xfId="0" applyNumberFormat="1" applyFont="1" applyFill="1" applyBorder="1" applyAlignment="1">
      <alignment horizontal="center" vertical="center"/>
    </xf>
    <xf numFmtId="0" fontId="16" fillId="7" borderId="47" xfId="10" applyFont="1" applyFill="1" applyBorder="1" applyAlignment="1">
      <alignment horizontal="left" vertical="center"/>
    </xf>
    <xf numFmtId="0" fontId="16" fillId="7" borderId="51" xfId="10" applyFont="1" applyFill="1" applyBorder="1" applyAlignment="1">
      <alignment horizontal="left" vertical="center"/>
    </xf>
    <xf numFmtId="0" fontId="16" fillId="7" borderId="39" xfId="10" applyFont="1" applyFill="1" applyBorder="1" applyAlignment="1">
      <alignment horizontal="left" vertical="center"/>
    </xf>
    <xf numFmtId="170" fontId="10" fillId="5" borderId="38" xfId="0" applyNumberFormat="1" applyFont="1" applyFill="1" applyBorder="1" applyAlignment="1">
      <alignment vertical="center"/>
    </xf>
    <xf numFmtId="1" fontId="14" fillId="6" borderId="13" xfId="12" applyNumberFormat="1" applyFont="1" applyFill="1" applyBorder="1" applyAlignment="1" applyProtection="1">
      <alignment horizontal="center" vertical="center"/>
    </xf>
    <xf numFmtId="0" fontId="16" fillId="0" borderId="68" xfId="10" applyFont="1" applyBorder="1" applyAlignment="1" applyProtection="1">
      <alignment horizontal="center" vertical="center"/>
      <protection locked="0"/>
    </xf>
    <xf numFmtId="0" fontId="18" fillId="2" borderId="0" xfId="10" applyFont="1" applyFill="1" applyAlignment="1" applyProtection="1">
      <alignment vertical="center"/>
      <protection locked="0"/>
    </xf>
    <xf numFmtId="0" fontId="16" fillId="2" borderId="5" xfId="10" applyFont="1" applyFill="1" applyBorder="1" applyAlignment="1" applyProtection="1">
      <alignment horizontal="center" vertical="center"/>
      <protection locked="0"/>
    </xf>
    <xf numFmtId="0" fontId="19" fillId="0" borderId="68" xfId="10" applyFont="1" applyBorder="1" applyAlignment="1" applyProtection="1">
      <alignment horizontal="center" vertical="center"/>
      <protection locked="0"/>
    </xf>
    <xf numFmtId="0" fontId="16" fillId="0" borderId="63" xfId="10" applyFont="1" applyBorder="1" applyAlignment="1" applyProtection="1">
      <alignment horizontal="center" vertical="center"/>
      <protection locked="0"/>
    </xf>
    <xf numFmtId="0" fontId="14" fillId="0" borderId="13" xfId="9" applyNumberFormat="1" applyFont="1" applyBorder="1" applyAlignment="1" applyProtection="1">
      <alignment horizontal="center" vertical="center"/>
      <protection locked="0"/>
    </xf>
    <xf numFmtId="0" fontId="16" fillId="0" borderId="4" xfId="10" applyFont="1" applyBorder="1" applyAlignment="1" applyProtection="1">
      <alignment horizontal="center" vertical="center"/>
      <protection locked="0"/>
    </xf>
    <xf numFmtId="0" fontId="16" fillId="6" borderId="4" xfId="10" applyFont="1" applyFill="1" applyBorder="1" applyAlignment="1">
      <alignment horizontal="center" vertical="center"/>
    </xf>
    <xf numFmtId="0" fontId="16" fillId="2" borderId="28" xfId="10" applyFont="1" applyFill="1" applyBorder="1" applyAlignment="1" applyProtection="1">
      <alignment horizontal="center" vertical="center" wrapText="1"/>
      <protection locked="0"/>
    </xf>
    <xf numFmtId="173" fontId="10" fillId="7" borderId="50" xfId="0" applyNumberFormat="1" applyFont="1" applyFill="1" applyBorder="1" applyAlignment="1">
      <alignment vertical="center"/>
    </xf>
    <xf numFmtId="0" fontId="19" fillId="7" borderId="8" xfId="10" applyFont="1" applyFill="1" applyBorder="1" applyAlignment="1">
      <alignment horizontal="center" vertical="center"/>
    </xf>
    <xf numFmtId="0" fontId="19" fillId="7" borderId="9" xfId="10" applyFont="1" applyFill="1" applyBorder="1" applyAlignment="1">
      <alignment horizontal="center" vertical="center"/>
    </xf>
    <xf numFmtId="0" fontId="19" fillId="7" borderId="65" xfId="10" applyFont="1" applyFill="1" applyBorder="1" applyAlignment="1">
      <alignment horizontal="center" vertical="center"/>
    </xf>
    <xf numFmtId="1" fontId="15" fillId="2" borderId="65" xfId="10" applyNumberFormat="1" applyFont="1" applyFill="1" applyBorder="1" applyAlignment="1">
      <alignment horizontal="center" vertical="center" wrapText="1"/>
    </xf>
    <xf numFmtId="165" fontId="15" fillId="2" borderId="4" xfId="1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9" fontId="14" fillId="2" borderId="0" xfId="9" applyFont="1" applyFill="1" applyAlignment="1" applyProtection="1">
      <alignment vertical="center"/>
    </xf>
    <xf numFmtId="1" fontId="14" fillId="2" borderId="4" xfId="0" applyNumberFormat="1" applyFont="1" applyFill="1" applyBorder="1" applyAlignment="1">
      <alignment horizontal="center" vertical="center"/>
    </xf>
    <xf numFmtId="0" fontId="18" fillId="7" borderId="9" xfId="10" applyFont="1" applyFill="1" applyBorder="1" applyAlignment="1">
      <alignment vertical="center"/>
    </xf>
    <xf numFmtId="0" fontId="18" fillId="2" borderId="2" xfId="10" applyFont="1" applyFill="1" applyBorder="1" applyAlignment="1" applyProtection="1">
      <alignment vertical="center"/>
      <protection locked="0"/>
    </xf>
    <xf numFmtId="165" fontId="14" fillId="2" borderId="0" xfId="0" applyNumberFormat="1" applyFont="1" applyFill="1" applyAlignment="1">
      <alignment vertical="center"/>
    </xf>
    <xf numFmtId="0" fontId="3" fillId="2" borderId="5" xfId="10" applyFont="1" applyFill="1" applyBorder="1" applyAlignment="1">
      <alignment vertical="center"/>
    </xf>
    <xf numFmtId="170" fontId="11" fillId="2" borderId="0" xfId="0" applyNumberFormat="1" applyFont="1" applyFill="1" applyAlignment="1">
      <alignment horizontal="center" vertical="center" wrapText="1"/>
    </xf>
    <xf numFmtId="169" fontId="20" fillId="2" borderId="0" xfId="0" applyNumberFormat="1" applyFont="1" applyFill="1" applyAlignment="1">
      <alignment vertical="center"/>
    </xf>
    <xf numFmtId="0" fontId="14" fillId="0" borderId="21" xfId="10" applyFont="1" applyBorder="1" applyAlignment="1" applyProtection="1">
      <alignment horizontal="center" vertical="center"/>
      <protection locked="0"/>
    </xf>
    <xf numFmtId="0" fontId="3" fillId="2" borderId="4" xfId="10" applyFont="1" applyFill="1" applyBorder="1" applyAlignment="1">
      <alignment vertical="center"/>
    </xf>
    <xf numFmtId="0" fontId="16" fillId="2" borderId="4" xfId="10" applyFont="1" applyFill="1" applyBorder="1" applyAlignment="1" applyProtection="1">
      <alignment horizontal="center" vertical="center" wrapText="1"/>
      <protection locked="0"/>
    </xf>
    <xf numFmtId="0" fontId="18" fillId="2" borderId="4" xfId="10" applyFont="1" applyFill="1" applyBorder="1" applyAlignment="1" applyProtection="1">
      <alignment horizontal="left" vertical="center" wrapText="1"/>
      <protection locked="0"/>
    </xf>
    <xf numFmtId="0" fontId="17" fillId="3" borderId="27" xfId="10" applyFont="1" applyFill="1" applyBorder="1" applyAlignment="1">
      <alignment horizontal="center" vertical="center" wrapText="1"/>
    </xf>
    <xf numFmtId="0" fontId="17" fillId="3" borderId="51" xfId="10" applyFont="1" applyFill="1" applyBorder="1" applyAlignment="1">
      <alignment horizontal="center" vertical="center" wrapText="1"/>
    </xf>
    <xf numFmtId="0" fontId="9" fillId="0" borderId="3" xfId="0" applyFont="1" applyBorder="1" applyAlignment="1">
      <alignment horizontal="left"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170" fontId="9" fillId="2" borderId="5" xfId="0" applyNumberFormat="1" applyFont="1" applyFill="1" applyBorder="1" applyAlignment="1" applyProtection="1">
      <alignment horizontal="center" vertical="center"/>
      <protection locked="0"/>
    </xf>
    <xf numFmtId="0" fontId="28" fillId="2" borderId="0" xfId="0" applyFont="1" applyFill="1" applyAlignment="1">
      <alignment vertical="center"/>
    </xf>
    <xf numFmtId="0" fontId="10" fillId="2" borderId="53" xfId="0" applyFont="1" applyFill="1" applyBorder="1" applyAlignment="1">
      <alignment horizontal="left" vertical="center"/>
    </xf>
    <xf numFmtId="0" fontId="10" fillId="2" borderId="53" xfId="0" applyFont="1" applyFill="1" applyBorder="1" applyAlignment="1">
      <alignment vertical="center"/>
    </xf>
    <xf numFmtId="0" fontId="10" fillId="2" borderId="54" xfId="0" applyFont="1" applyFill="1" applyBorder="1" applyAlignment="1">
      <alignment vertical="center"/>
    </xf>
    <xf numFmtId="0" fontId="10" fillId="2" borderId="60" xfId="0" applyFont="1" applyFill="1" applyBorder="1" applyAlignment="1">
      <alignment vertical="center"/>
    </xf>
    <xf numFmtId="169" fontId="9" fillId="8" borderId="4" xfId="0" applyNumberFormat="1" applyFont="1" applyFill="1" applyBorder="1" applyAlignment="1" applyProtection="1">
      <alignment horizontal="center" vertical="center"/>
      <protection locked="0"/>
    </xf>
    <xf numFmtId="169" fontId="9" fillId="8" borderId="4" xfId="0" applyNumberFormat="1" applyFont="1" applyFill="1" applyBorder="1" applyAlignment="1" applyProtection="1">
      <alignment horizontal="right" vertical="center"/>
      <protection locked="0"/>
    </xf>
    <xf numFmtId="1" fontId="9" fillId="8" borderId="4" xfId="0" applyNumberFormat="1" applyFont="1" applyFill="1" applyBorder="1" applyAlignment="1" applyProtection="1">
      <alignment horizontal="center" vertical="center"/>
      <protection locked="0"/>
    </xf>
    <xf numFmtId="1" fontId="10" fillId="2" borderId="36" xfId="0" applyNumberFormat="1" applyFont="1" applyFill="1" applyBorder="1" applyAlignment="1">
      <alignment horizontal="center" vertical="center"/>
    </xf>
    <xf numFmtId="1" fontId="14" fillId="0" borderId="4" xfId="0" applyNumberFormat="1" applyFont="1" applyBorder="1" applyAlignment="1">
      <alignment horizontal="center" vertical="center"/>
    </xf>
    <xf numFmtId="0" fontId="10" fillId="2" borderId="1" xfId="0" applyFont="1" applyFill="1" applyBorder="1" applyAlignment="1">
      <alignment horizontal="left" vertical="center"/>
    </xf>
    <xf numFmtId="0" fontId="10" fillId="2" borderId="1" xfId="0" applyFont="1" applyFill="1" applyBorder="1" applyAlignment="1">
      <alignment horizontal="right" vertical="center"/>
    </xf>
    <xf numFmtId="0" fontId="9" fillId="2" borderId="1" xfId="0" applyFont="1" applyFill="1" applyBorder="1" applyAlignment="1">
      <alignment vertical="center"/>
    </xf>
    <xf numFmtId="0" fontId="10" fillId="2" borderId="23" xfId="0" applyFont="1" applyFill="1" applyBorder="1" applyAlignment="1">
      <alignment horizontal="left" vertical="center"/>
    </xf>
    <xf numFmtId="0" fontId="10" fillId="2" borderId="23" xfId="0" applyFont="1" applyFill="1" applyBorder="1" applyAlignment="1">
      <alignment horizontal="right" vertical="center"/>
    </xf>
    <xf numFmtId="0" fontId="9" fillId="2" borderId="23" xfId="0" applyFont="1" applyFill="1" applyBorder="1" applyAlignment="1">
      <alignment vertical="center"/>
    </xf>
    <xf numFmtId="0" fontId="9" fillId="2" borderId="1" xfId="0" applyFont="1" applyFill="1" applyBorder="1" applyAlignment="1">
      <alignment horizontal="left" vertical="center"/>
    </xf>
    <xf numFmtId="0" fontId="9" fillId="2" borderId="23" xfId="0" applyFont="1" applyFill="1" applyBorder="1" applyAlignment="1">
      <alignment horizontal="left" vertical="center"/>
    </xf>
    <xf numFmtId="0" fontId="16" fillId="2" borderId="7" xfId="10" applyFont="1" applyFill="1" applyBorder="1" applyAlignment="1" applyProtection="1">
      <alignment horizontal="center" vertical="center"/>
      <protection locked="0"/>
    </xf>
    <xf numFmtId="1" fontId="9" fillId="2" borderId="31" xfId="0" applyNumberFormat="1" applyFont="1" applyFill="1" applyBorder="1" applyAlignment="1">
      <alignment horizontal="center" vertical="center"/>
    </xf>
    <xf numFmtId="1" fontId="9" fillId="2" borderId="39" xfId="0" applyNumberFormat="1" applyFont="1" applyFill="1" applyBorder="1" applyAlignment="1">
      <alignment horizontal="center"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4" fillId="2" borderId="13" xfId="0" applyFont="1" applyFill="1" applyBorder="1" applyAlignment="1">
      <alignment vertical="center"/>
    </xf>
    <xf numFmtId="0" fontId="14" fillId="2" borderId="7" xfId="0" applyFont="1" applyFill="1" applyBorder="1" applyAlignment="1">
      <alignment vertical="center"/>
    </xf>
    <xf numFmtId="0" fontId="14" fillId="2" borderId="63" xfId="0" applyFont="1" applyFill="1" applyBorder="1" applyAlignment="1">
      <alignment vertical="center"/>
    </xf>
    <xf numFmtId="0" fontId="14" fillId="2" borderId="3" xfId="0" applyFont="1"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11" borderId="13" xfId="0" applyFill="1" applyBorder="1" applyAlignment="1">
      <alignment vertical="center"/>
    </xf>
    <xf numFmtId="0" fontId="0" fillId="11" borderId="5" xfId="0" applyFill="1" applyBorder="1" applyAlignment="1">
      <alignment vertical="center"/>
    </xf>
    <xf numFmtId="0" fontId="0" fillId="11" borderId="63" xfId="0" applyFill="1" applyBorder="1" applyAlignment="1">
      <alignment vertical="center"/>
    </xf>
    <xf numFmtId="0" fontId="0" fillId="0" borderId="3" xfId="0" applyBorder="1" applyAlignment="1">
      <alignment vertical="center"/>
    </xf>
    <xf numFmtId="0" fontId="0" fillId="11" borderId="7" xfId="0" applyFill="1" applyBorder="1" applyAlignment="1">
      <alignment vertical="center"/>
    </xf>
    <xf numFmtId="0" fontId="0" fillId="11" borderId="4" xfId="0" applyFill="1" applyBorder="1" applyAlignment="1">
      <alignment vertical="center"/>
    </xf>
    <xf numFmtId="0" fontId="0" fillId="11" borderId="3" xfId="0" applyFill="1" applyBorder="1" applyAlignment="1">
      <alignment vertical="center"/>
    </xf>
    <xf numFmtId="0" fontId="29" fillId="0" borderId="28" xfId="0" applyFont="1" applyBorder="1" applyAlignment="1">
      <alignment vertical="center"/>
    </xf>
    <xf numFmtId="0" fontId="29" fillId="0" borderId="21" xfId="0" applyFont="1" applyBorder="1" applyAlignment="1">
      <alignment vertical="center"/>
    </xf>
    <xf numFmtId="0" fontId="29" fillId="0" borderId="70" xfId="0"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29" fillId="0" borderId="17" xfId="0" applyFont="1" applyBorder="1" applyAlignment="1">
      <alignment vertical="center"/>
    </xf>
    <xf numFmtId="0" fontId="9" fillId="2" borderId="18" xfId="0" applyFont="1" applyFill="1" applyBorder="1" applyAlignment="1">
      <alignment horizontal="left" vertical="center"/>
    </xf>
    <xf numFmtId="0" fontId="10" fillId="2" borderId="18" xfId="0" applyFont="1" applyFill="1" applyBorder="1" applyAlignment="1">
      <alignment horizontal="right" vertical="center"/>
    </xf>
    <xf numFmtId="0" fontId="10" fillId="2" borderId="18" xfId="0" applyFont="1" applyFill="1" applyBorder="1" applyAlignment="1">
      <alignment horizontal="left" vertical="center"/>
    </xf>
    <xf numFmtId="0" fontId="9" fillId="2" borderId="18" xfId="0" applyFont="1" applyFill="1" applyBorder="1" applyAlignment="1">
      <alignment vertical="center"/>
    </xf>
    <xf numFmtId="1" fontId="9" fillId="2" borderId="34" xfId="0" applyNumberFormat="1" applyFont="1" applyFill="1" applyBorder="1" applyAlignment="1">
      <alignment horizontal="center" vertical="center"/>
    </xf>
    <xf numFmtId="1" fontId="9" fillId="2" borderId="12" xfId="0" applyNumberFormat="1" applyFont="1" applyFill="1" applyBorder="1" applyAlignment="1">
      <alignment horizontal="center" vertical="center"/>
    </xf>
    <xf numFmtId="1" fontId="9" fillId="2" borderId="2" xfId="0" applyNumberFormat="1" applyFont="1" applyFill="1" applyBorder="1" applyAlignment="1">
      <alignment horizontal="center" vertical="center"/>
    </xf>
    <xf numFmtId="1" fontId="9" fillId="2" borderId="41" xfId="0" applyNumberFormat="1" applyFont="1" applyFill="1" applyBorder="1" applyAlignment="1">
      <alignment horizontal="center" vertical="center"/>
    </xf>
    <xf numFmtId="1" fontId="9" fillId="2" borderId="38" xfId="0" applyNumberFormat="1" applyFont="1" applyFill="1" applyBorder="1" applyAlignment="1">
      <alignment horizontal="center" vertical="center"/>
    </xf>
    <xf numFmtId="0" fontId="10" fillId="2" borderId="31"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4" xfId="0" applyFont="1" applyFill="1" applyBorder="1" applyAlignment="1">
      <alignment horizontal="center" vertical="center"/>
    </xf>
    <xf numFmtId="0" fontId="0" fillId="2" borderId="39" xfId="0" applyFill="1" applyBorder="1" applyAlignment="1">
      <alignment vertical="center"/>
    </xf>
    <xf numFmtId="0" fontId="5" fillId="2" borderId="3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26" xfId="0" applyFill="1" applyBorder="1" applyAlignment="1">
      <alignment vertical="center"/>
    </xf>
    <xf numFmtId="0" fontId="0" fillId="2" borderId="18" xfId="0" applyFill="1" applyBorder="1" applyAlignment="1">
      <alignment vertical="center"/>
    </xf>
    <xf numFmtId="0" fontId="9" fillId="2" borderId="3" xfId="0" applyFont="1" applyFill="1" applyBorder="1" applyAlignment="1">
      <alignment vertical="center"/>
    </xf>
    <xf numFmtId="0" fontId="0" fillId="2" borderId="23" xfId="0" applyFill="1" applyBorder="1" applyAlignment="1">
      <alignment vertical="center"/>
    </xf>
    <xf numFmtId="0" fontId="9" fillId="2" borderId="63" xfId="0" applyFont="1" applyFill="1" applyBorder="1" applyAlignment="1">
      <alignment vertical="center" wrapText="1"/>
    </xf>
    <xf numFmtId="0" fontId="9" fillId="2" borderId="3" xfId="0" applyFont="1" applyFill="1" applyBorder="1" applyAlignment="1">
      <alignment vertical="center" wrapText="1"/>
    </xf>
    <xf numFmtId="0" fontId="10" fillId="2" borderId="64" xfId="0" applyFont="1" applyFill="1" applyBorder="1" applyAlignment="1">
      <alignment vertical="center"/>
    </xf>
    <xf numFmtId="0" fontId="10" fillId="2" borderId="10" xfId="0" applyFont="1" applyFill="1" applyBorder="1" applyAlignment="1">
      <alignment vertical="center"/>
    </xf>
    <xf numFmtId="0" fontId="10" fillId="2" borderId="66" xfId="0" applyFont="1" applyFill="1" applyBorder="1" applyAlignment="1">
      <alignment vertical="center"/>
    </xf>
    <xf numFmtId="0" fontId="9"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29" fillId="2" borderId="19" xfId="0" applyFont="1" applyFill="1" applyBorder="1" applyAlignment="1">
      <alignment vertical="center"/>
    </xf>
    <xf numFmtId="0" fontId="29" fillId="2" borderId="18" xfId="0" applyFont="1" applyFill="1" applyBorder="1" applyAlignment="1">
      <alignment vertical="center"/>
    </xf>
    <xf numFmtId="0" fontId="9"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2" xfId="0" applyFont="1" applyFill="1" applyBorder="1" applyAlignment="1">
      <alignment horizontal="center" vertical="center"/>
    </xf>
    <xf numFmtId="0" fontId="0" fillId="2" borderId="7" xfId="0" applyFill="1" applyBorder="1" applyAlignment="1">
      <alignment vertical="center"/>
    </xf>
    <xf numFmtId="0" fontId="29" fillId="2" borderId="8" xfId="0" applyFont="1" applyFill="1" applyBorder="1" applyAlignment="1">
      <alignment vertical="center"/>
    </xf>
    <xf numFmtId="0" fontId="29" fillId="2" borderId="9" xfId="0" applyFont="1" applyFill="1" applyBorder="1" applyAlignment="1">
      <alignment vertical="center"/>
    </xf>
    <xf numFmtId="0" fontId="29" fillId="2" borderId="65" xfId="0" applyFont="1" applyFill="1" applyBorder="1" applyAlignment="1">
      <alignment vertical="center"/>
    </xf>
    <xf numFmtId="0" fontId="0" fillId="2" borderId="3" xfId="0" applyFill="1" applyBorder="1" applyAlignment="1">
      <alignment vertical="center"/>
    </xf>
    <xf numFmtId="1" fontId="0" fillId="2" borderId="7" xfId="0" applyNumberFormat="1" applyFill="1" applyBorder="1" applyAlignment="1">
      <alignment vertical="center"/>
    </xf>
    <xf numFmtId="1" fontId="0" fillId="2" borderId="4" xfId="0" applyNumberFormat="1" applyFill="1" applyBorder="1" applyAlignment="1">
      <alignment vertical="center"/>
    </xf>
    <xf numFmtId="1" fontId="29" fillId="2" borderId="8" xfId="0" applyNumberFormat="1" applyFont="1" applyFill="1" applyBorder="1" applyAlignment="1">
      <alignment vertical="center"/>
    </xf>
    <xf numFmtId="1" fontId="29" fillId="2" borderId="9" xfId="0" applyNumberFormat="1" applyFont="1" applyFill="1" applyBorder="1" applyAlignment="1">
      <alignment vertical="center"/>
    </xf>
    <xf numFmtId="1" fontId="0" fillId="11" borderId="13" xfId="0" applyNumberFormat="1" applyFill="1" applyBorder="1" applyAlignment="1">
      <alignment vertical="center"/>
    </xf>
    <xf numFmtId="1" fontId="0" fillId="11" borderId="5" xfId="0" applyNumberFormat="1" applyFill="1" applyBorder="1" applyAlignment="1">
      <alignment vertical="center"/>
    </xf>
    <xf numFmtId="1" fontId="0" fillId="0" borderId="7" xfId="0" applyNumberFormat="1" applyBorder="1" applyAlignment="1">
      <alignment vertical="center"/>
    </xf>
    <xf numFmtId="1" fontId="0" fillId="0" borderId="4" xfId="0" applyNumberFormat="1" applyBorder="1" applyAlignment="1">
      <alignment vertical="center"/>
    </xf>
    <xf numFmtId="1" fontId="29" fillId="0" borderId="28" xfId="0" applyNumberFormat="1" applyFont="1" applyBorder="1" applyAlignment="1">
      <alignment vertical="center"/>
    </xf>
    <xf numFmtId="1" fontId="29" fillId="0" borderId="21" xfId="0" applyNumberFormat="1" applyFont="1" applyBorder="1" applyAlignment="1">
      <alignment vertical="center"/>
    </xf>
    <xf numFmtId="1" fontId="29" fillId="0" borderId="11" xfId="0" applyNumberFormat="1" applyFont="1" applyBorder="1" applyAlignment="1">
      <alignment vertical="center"/>
    </xf>
    <xf numFmtId="1" fontId="29" fillId="0" borderId="12" xfId="0" applyNumberFormat="1" applyFont="1" applyBorder="1" applyAlignment="1">
      <alignment vertical="center"/>
    </xf>
    <xf numFmtId="1" fontId="0" fillId="2" borderId="33" xfId="0" applyNumberFormat="1" applyFill="1" applyBorder="1" applyAlignment="1">
      <alignment vertical="center"/>
    </xf>
    <xf numFmtId="1" fontId="0" fillId="0" borderId="33" xfId="0" applyNumberFormat="1" applyBorder="1" applyAlignment="1">
      <alignment vertical="center"/>
    </xf>
    <xf numFmtId="1" fontId="29" fillId="2" borderId="21" xfId="0" applyNumberFormat="1" applyFont="1" applyFill="1" applyBorder="1" applyAlignment="1">
      <alignment vertical="center"/>
    </xf>
    <xf numFmtId="1" fontId="29" fillId="2" borderId="58" xfId="0" applyNumberFormat="1" applyFont="1" applyFill="1" applyBorder="1" applyAlignment="1">
      <alignment vertical="center"/>
    </xf>
    <xf numFmtId="1" fontId="29" fillId="0" borderId="58" xfId="0" applyNumberFormat="1" applyFont="1" applyBorder="1" applyAlignment="1">
      <alignment vertical="center"/>
    </xf>
    <xf numFmtId="1" fontId="0" fillId="11" borderId="35" xfId="0" applyNumberFormat="1" applyFill="1" applyBorder="1" applyAlignment="1">
      <alignment vertical="center"/>
    </xf>
    <xf numFmtId="1" fontId="0" fillId="11" borderId="22" xfId="0" applyNumberFormat="1" applyFill="1" applyBorder="1" applyAlignment="1">
      <alignment vertical="center"/>
    </xf>
    <xf numFmtId="1" fontId="0" fillId="11" borderId="52" xfId="0" applyNumberFormat="1" applyFill="1" applyBorder="1" applyAlignment="1">
      <alignment vertical="center"/>
    </xf>
    <xf numFmtId="1" fontId="29" fillId="2" borderId="50" xfId="0" applyNumberFormat="1" applyFont="1" applyFill="1" applyBorder="1" applyAlignment="1">
      <alignment vertical="center"/>
    </xf>
    <xf numFmtId="1" fontId="29" fillId="0" borderId="32" xfId="0" applyNumberFormat="1" applyFont="1" applyBorder="1" applyAlignment="1">
      <alignment vertical="center"/>
    </xf>
    <xf numFmtId="1" fontId="0" fillId="2" borderId="49" xfId="0" applyNumberFormat="1" applyFill="1" applyBorder="1" applyAlignment="1">
      <alignment vertical="center"/>
    </xf>
    <xf numFmtId="1" fontId="0" fillId="2" borderId="22" xfId="0" applyNumberFormat="1" applyFill="1" applyBorder="1" applyAlignment="1">
      <alignment vertical="center"/>
    </xf>
    <xf numFmtId="1" fontId="0" fillId="2" borderId="52" xfId="0" applyNumberFormat="1" applyFill="1" applyBorder="1" applyAlignment="1">
      <alignment vertical="center"/>
    </xf>
    <xf numFmtId="1" fontId="29" fillId="2" borderId="28" xfId="0" applyNumberFormat="1" applyFont="1" applyFill="1" applyBorder="1" applyAlignment="1">
      <alignment vertical="center"/>
    </xf>
    <xf numFmtId="1" fontId="0" fillId="11" borderId="49" xfId="0" applyNumberFormat="1" applyFill="1" applyBorder="1" applyAlignment="1">
      <alignment vertical="center"/>
    </xf>
    <xf numFmtId="0" fontId="0" fillId="2" borderId="71" xfId="0" applyFill="1" applyBorder="1" applyAlignment="1">
      <alignment vertical="center"/>
    </xf>
    <xf numFmtId="0" fontId="10" fillId="2" borderId="24" xfId="0" applyFont="1" applyFill="1" applyBorder="1" applyAlignment="1">
      <alignment horizontal="right" vertical="center"/>
    </xf>
    <xf numFmtId="0" fontId="10" fillId="2" borderId="24" xfId="0" applyFont="1" applyFill="1" applyBorder="1" applyAlignment="1">
      <alignment horizontal="left" vertical="center"/>
    </xf>
    <xf numFmtId="0" fontId="9" fillId="2" borderId="24" xfId="0" applyFont="1" applyFill="1" applyBorder="1" applyAlignment="1">
      <alignment vertical="center"/>
    </xf>
    <xf numFmtId="0" fontId="10" fillId="2" borderId="37" xfId="0" applyFont="1" applyFill="1" applyBorder="1" applyAlignment="1">
      <alignment horizontal="center" vertical="center"/>
    </xf>
    <xf numFmtId="170" fontId="9" fillId="2" borderId="44" xfId="0" applyNumberFormat="1" applyFont="1" applyFill="1" applyBorder="1" applyAlignment="1">
      <alignment horizontal="center" vertical="center"/>
    </xf>
    <xf numFmtId="0" fontId="5" fillId="2" borderId="18" xfId="0" applyFont="1" applyFill="1" applyBorder="1" applyAlignment="1">
      <alignment vertical="center"/>
    </xf>
    <xf numFmtId="170" fontId="9" fillId="2" borderId="49" xfId="0" applyNumberFormat="1" applyFont="1" applyFill="1" applyBorder="1" applyAlignment="1">
      <alignment horizontal="center" vertical="center"/>
    </xf>
    <xf numFmtId="170" fontId="9" fillId="2" borderId="40" xfId="0" applyNumberFormat="1" applyFont="1" applyFill="1" applyBorder="1" applyAlignment="1">
      <alignment horizontal="center" vertical="center"/>
    </xf>
    <xf numFmtId="170" fontId="9" fillId="2" borderId="13"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1" fontId="9" fillId="2" borderId="20" xfId="0" applyNumberFormat="1" applyFont="1" applyFill="1" applyBorder="1" applyAlignment="1">
      <alignment horizontal="center" vertical="center"/>
    </xf>
    <xf numFmtId="0" fontId="16" fillId="0" borderId="7" xfId="10" applyFont="1" applyBorder="1" applyAlignment="1" applyProtection="1">
      <alignment horizontal="center" vertical="center"/>
      <protection locked="0"/>
    </xf>
    <xf numFmtId="0" fontId="19" fillId="6" borderId="54" xfId="10" applyFont="1" applyFill="1" applyBorder="1" applyAlignment="1">
      <alignment horizontal="center" vertical="center"/>
    </xf>
    <xf numFmtId="0" fontId="19" fillId="6" borderId="24" xfId="10" applyFont="1" applyFill="1" applyBorder="1" applyAlignment="1">
      <alignment horizontal="center" vertical="center"/>
    </xf>
    <xf numFmtId="0" fontId="19" fillId="6" borderId="1" xfId="10" applyFont="1" applyFill="1" applyBorder="1" applyAlignment="1">
      <alignment horizontal="center" vertical="center"/>
    </xf>
    <xf numFmtId="0" fontId="16" fillId="7" borderId="10" xfId="10" applyFont="1" applyFill="1" applyBorder="1" applyAlignment="1">
      <alignment horizontal="left" vertical="center"/>
    </xf>
    <xf numFmtId="0" fontId="16" fillId="0" borderId="49" xfId="10" applyFont="1" applyBorder="1" applyAlignment="1" applyProtection="1">
      <alignment horizontal="center" vertical="center"/>
      <protection locked="0"/>
    </xf>
    <xf numFmtId="0" fontId="16" fillId="0" borderId="22" xfId="10" applyFont="1" applyBorder="1" applyAlignment="1" applyProtection="1">
      <alignment horizontal="center" vertical="center"/>
      <protection locked="0"/>
    </xf>
    <xf numFmtId="0" fontId="16" fillId="6" borderId="52" xfId="10" applyFont="1" applyFill="1" applyBorder="1" applyAlignment="1">
      <alignment horizontal="center" vertical="center"/>
    </xf>
    <xf numFmtId="0" fontId="16" fillId="6" borderId="33" xfId="10" applyFont="1" applyFill="1" applyBorder="1" applyAlignment="1">
      <alignment horizontal="center" vertical="center"/>
    </xf>
    <xf numFmtId="0" fontId="19" fillId="0" borderId="7" xfId="10" applyFont="1" applyBorder="1" applyAlignment="1" applyProtection="1">
      <alignment horizontal="center" vertical="center"/>
      <protection locked="0"/>
    </xf>
    <xf numFmtId="1" fontId="15" fillId="2" borderId="28" xfId="10" applyNumberFormat="1" applyFont="1" applyFill="1" applyBorder="1" applyAlignment="1">
      <alignment horizontal="center" vertical="center" wrapText="1"/>
    </xf>
    <xf numFmtId="1" fontId="15" fillId="2" borderId="21" xfId="10" applyNumberFormat="1" applyFont="1" applyFill="1" applyBorder="1" applyAlignment="1">
      <alignment horizontal="center" vertical="center" wrapText="1"/>
    </xf>
    <xf numFmtId="0" fontId="19" fillId="7" borderId="72" xfId="10" applyFont="1" applyFill="1" applyBorder="1" applyAlignment="1">
      <alignment horizontal="center" vertical="center"/>
    </xf>
    <xf numFmtId="0" fontId="16" fillId="0" borderId="8" xfId="10" applyFont="1" applyBorder="1" applyAlignment="1" applyProtection="1">
      <alignment horizontal="center" vertical="center"/>
      <protection locked="0"/>
    </xf>
    <xf numFmtId="0" fontId="16" fillId="0" borderId="9" xfId="10" applyFont="1" applyBorder="1" applyAlignment="1" applyProtection="1">
      <alignment horizontal="center" vertical="center"/>
      <protection locked="0"/>
    </xf>
    <xf numFmtId="0" fontId="16" fillId="6" borderId="50" xfId="10" applyFont="1" applyFill="1" applyBorder="1" applyAlignment="1">
      <alignment horizontal="center" vertical="center"/>
    </xf>
    <xf numFmtId="170" fontId="9" fillId="2" borderId="4" xfId="0" applyNumberFormat="1" applyFont="1" applyFill="1" applyBorder="1" applyAlignment="1">
      <alignment horizontal="center" vertical="center"/>
    </xf>
    <xf numFmtId="0" fontId="9" fillId="8" borderId="69" xfId="15" applyNumberFormat="1" applyFont="1" applyFill="1" applyBorder="1" applyAlignment="1" applyProtection="1">
      <alignment horizontal="center" vertical="center"/>
      <protection locked="0"/>
    </xf>
    <xf numFmtId="0" fontId="9" fillId="8" borderId="46" xfId="15" applyNumberFormat="1" applyFont="1" applyFill="1" applyBorder="1" applyAlignment="1" applyProtection="1">
      <alignment horizontal="center" vertical="center"/>
      <protection locked="0"/>
    </xf>
    <xf numFmtId="170" fontId="9" fillId="0" borderId="71" xfId="0" applyNumberFormat="1" applyFont="1" applyBorder="1" applyAlignment="1">
      <alignment horizontal="center" vertical="center"/>
    </xf>
    <xf numFmtId="0" fontId="9" fillId="8" borderId="0" xfId="15" applyNumberFormat="1" applyFont="1" applyFill="1" applyBorder="1" applyAlignment="1" applyProtection="1">
      <alignment horizontal="center" vertical="center"/>
      <protection locked="0"/>
    </xf>
    <xf numFmtId="0" fontId="30" fillId="0" borderId="4" xfId="0" applyFont="1" applyBorder="1" applyAlignment="1">
      <alignment vertical="center"/>
    </xf>
    <xf numFmtId="6" fontId="30" fillId="0" borderId="4" xfId="0" applyNumberFormat="1" applyFont="1" applyBorder="1" applyAlignment="1">
      <alignment horizontal="center" vertical="center"/>
    </xf>
    <xf numFmtId="9" fontId="0" fillId="2" borderId="4" xfId="12" applyFont="1" applyFill="1" applyBorder="1" applyAlignment="1">
      <alignment vertical="center"/>
    </xf>
    <xf numFmtId="169" fontId="0" fillId="2" borderId="4" xfId="0" applyNumberFormat="1" applyFill="1" applyBorder="1" applyAlignment="1">
      <alignment vertical="center"/>
    </xf>
    <xf numFmtId="0" fontId="29" fillId="2" borderId="4" xfId="0" applyFont="1" applyFill="1" applyBorder="1" applyAlignment="1">
      <alignment vertical="center"/>
    </xf>
    <xf numFmtId="169" fontId="29" fillId="2" borderId="4" xfId="0" applyNumberFormat="1" applyFont="1" applyFill="1" applyBorder="1" applyAlignment="1">
      <alignment vertical="center"/>
    </xf>
    <xf numFmtId="0" fontId="16" fillId="2" borderId="7" xfId="10" applyFont="1" applyFill="1" applyBorder="1" applyAlignment="1" applyProtection="1">
      <alignment horizontal="left" vertical="center"/>
      <protection locked="0"/>
    </xf>
    <xf numFmtId="0" fontId="18" fillId="2" borderId="73" xfId="10" applyFont="1" applyFill="1" applyBorder="1" applyAlignment="1" applyProtection="1">
      <alignment vertical="center"/>
      <protection locked="0"/>
    </xf>
    <xf numFmtId="0" fontId="18" fillId="2" borderId="46" xfId="10" applyFont="1" applyFill="1" applyBorder="1" applyAlignment="1" applyProtection="1">
      <alignment vertical="center"/>
      <protection locked="0"/>
    </xf>
    <xf numFmtId="1" fontId="16" fillId="0" borderId="21" xfId="10" applyNumberFormat="1" applyFont="1" applyBorder="1" applyAlignment="1" applyProtection="1">
      <alignment horizontal="center" vertical="center"/>
      <protection locked="0"/>
    </xf>
    <xf numFmtId="1" fontId="16" fillId="6" borderId="5" xfId="10" applyNumberFormat="1" applyFont="1" applyFill="1" applyBorder="1" applyAlignment="1">
      <alignment horizontal="center" vertical="center"/>
    </xf>
    <xf numFmtId="1" fontId="19" fillId="6" borderId="24" xfId="10" applyNumberFormat="1" applyFont="1" applyFill="1" applyBorder="1" applyAlignment="1">
      <alignment horizontal="center" vertical="center"/>
    </xf>
    <xf numFmtId="1" fontId="16" fillId="0" borderId="7" xfId="10" applyNumberFormat="1" applyFont="1" applyBorder="1" applyAlignment="1" applyProtection="1">
      <alignment horizontal="center" vertical="center"/>
      <protection locked="0"/>
    </xf>
    <xf numFmtId="1" fontId="16" fillId="0" borderId="4" xfId="10" applyNumberFormat="1" applyFont="1" applyBorder="1" applyAlignment="1" applyProtection="1">
      <alignment horizontal="center" vertical="center"/>
      <protection locked="0"/>
    </xf>
    <xf numFmtId="9" fontId="0" fillId="2" borderId="0" xfId="9" applyFont="1" applyFill="1" applyAlignment="1">
      <alignment vertical="center"/>
    </xf>
    <xf numFmtId="1" fontId="0" fillId="2" borderId="4" xfId="0" applyNumberFormat="1" applyFill="1" applyBorder="1" applyAlignment="1">
      <alignment horizontal="center" vertical="center"/>
    </xf>
    <xf numFmtId="170" fontId="11" fillId="3" borderId="32" xfId="0" applyNumberFormat="1" applyFont="1" applyFill="1" applyBorder="1" applyAlignment="1">
      <alignment horizontal="center" vertical="center"/>
    </xf>
    <xf numFmtId="0" fontId="0" fillId="12" borderId="4" xfId="0" applyFill="1" applyBorder="1" applyAlignment="1">
      <alignment vertical="center"/>
    </xf>
    <xf numFmtId="172" fontId="10" fillId="0" borderId="60" xfId="0" applyNumberFormat="1" applyFont="1" applyBorder="1" applyAlignment="1">
      <alignment horizontal="center" vertical="center" wrapText="1"/>
    </xf>
    <xf numFmtId="170" fontId="10" fillId="5" borderId="32" xfId="0" applyNumberFormat="1" applyFont="1" applyFill="1" applyBorder="1" applyAlignment="1">
      <alignment horizontal="right" vertical="center"/>
    </xf>
    <xf numFmtId="49" fontId="9" fillId="0" borderId="40" xfId="0" applyNumberFormat="1" applyFont="1" applyBorder="1" applyAlignment="1">
      <alignment vertical="center"/>
    </xf>
    <xf numFmtId="49" fontId="9" fillId="0" borderId="2" xfId="0" applyNumberFormat="1" applyFont="1" applyBorder="1" applyAlignment="1">
      <alignment vertical="center"/>
    </xf>
    <xf numFmtId="49" fontId="9" fillId="0" borderId="16" xfId="0" applyNumberFormat="1" applyFont="1" applyBorder="1" applyAlignment="1">
      <alignment vertical="center"/>
    </xf>
    <xf numFmtId="0" fontId="0" fillId="0" borderId="71" xfId="0" applyBorder="1"/>
    <xf numFmtId="0" fontId="9" fillId="2" borderId="11" xfId="0" applyFont="1" applyFill="1" applyBorder="1" applyAlignment="1">
      <alignment vertical="center"/>
    </xf>
    <xf numFmtId="0" fontId="9" fillId="0" borderId="17" xfId="0" applyFont="1" applyBorder="1" applyAlignment="1">
      <alignment vertical="center"/>
    </xf>
    <xf numFmtId="0" fontId="10" fillId="0" borderId="18" xfId="0" applyFont="1" applyBorder="1" applyAlignment="1">
      <alignment vertical="center" wrapText="1"/>
    </xf>
    <xf numFmtId="0" fontId="10" fillId="0" borderId="38" xfId="0" applyFont="1" applyBorder="1" applyAlignment="1">
      <alignment vertical="center" wrapText="1"/>
    </xf>
    <xf numFmtId="170" fontId="9" fillId="0" borderId="32" xfId="0" applyNumberFormat="1" applyFont="1" applyBorder="1" applyAlignment="1">
      <alignment horizontal="center" vertical="center"/>
    </xf>
    <xf numFmtId="0" fontId="9" fillId="0" borderId="5" xfId="15" applyNumberFormat="1" applyFont="1" applyFill="1" applyBorder="1" applyAlignment="1" applyProtection="1">
      <alignment horizontal="center" vertical="center"/>
    </xf>
    <xf numFmtId="0" fontId="14" fillId="0" borderId="2" xfId="9" applyNumberFormat="1" applyFont="1" applyBorder="1" applyAlignment="1" applyProtection="1">
      <alignment horizontal="center" vertical="center"/>
      <protection locked="0"/>
    </xf>
    <xf numFmtId="0" fontId="16" fillId="2" borderId="2" xfId="10" applyFont="1" applyFill="1" applyBorder="1" applyAlignment="1" applyProtection="1">
      <alignment horizontal="center" vertical="center"/>
      <protection locked="0"/>
    </xf>
    <xf numFmtId="0" fontId="16" fillId="0" borderId="33" xfId="10" applyFont="1" applyBorder="1" applyAlignment="1" applyProtection="1">
      <alignment horizontal="center" vertical="center"/>
      <protection locked="0"/>
    </xf>
    <xf numFmtId="0" fontId="16" fillId="2" borderId="33" xfId="10" applyFont="1" applyFill="1" applyBorder="1" applyAlignment="1" applyProtection="1">
      <alignment horizontal="center" vertical="center"/>
      <protection locked="0"/>
    </xf>
    <xf numFmtId="0" fontId="11" fillId="2" borderId="18" xfId="0" applyFont="1" applyFill="1" applyBorder="1" applyAlignment="1">
      <alignment horizontal="left" vertical="center"/>
    </xf>
    <xf numFmtId="0" fontId="11" fillId="2" borderId="18" xfId="0" applyFont="1" applyFill="1" applyBorder="1" applyAlignment="1">
      <alignment horizontal="right" vertical="center"/>
    </xf>
    <xf numFmtId="170" fontId="11" fillId="2" borderId="18" xfId="0" applyNumberFormat="1" applyFont="1" applyFill="1" applyBorder="1" applyAlignment="1">
      <alignment horizontal="center" vertical="center"/>
    </xf>
    <xf numFmtId="0" fontId="5" fillId="2" borderId="4" xfId="0" applyFont="1" applyFill="1" applyBorder="1" applyAlignment="1">
      <alignment vertical="center" wrapText="1"/>
    </xf>
    <xf numFmtId="0" fontId="31" fillId="3" borderId="4" xfId="0" applyFont="1" applyFill="1" applyBorder="1" applyAlignment="1">
      <alignment vertical="center"/>
    </xf>
    <xf numFmtId="169" fontId="31" fillId="3" borderId="4" xfId="0" applyNumberFormat="1" applyFont="1" applyFill="1" applyBorder="1" applyAlignment="1">
      <alignment vertical="center"/>
    </xf>
    <xf numFmtId="0" fontId="5" fillId="13" borderId="4" xfId="0" applyFont="1" applyFill="1" applyBorder="1" applyAlignment="1">
      <alignment vertical="center"/>
    </xf>
    <xf numFmtId="169" fontId="0" fillId="13" borderId="4" xfId="0" applyNumberFormat="1" applyFill="1" applyBorder="1" applyAlignment="1">
      <alignment vertical="center"/>
    </xf>
    <xf numFmtId="0" fontId="9" fillId="2" borderId="6" xfId="0" applyFont="1" applyFill="1" applyBorder="1" applyAlignment="1">
      <alignment vertical="center"/>
    </xf>
    <xf numFmtId="0" fontId="9" fillId="0" borderId="66" xfId="0" applyFont="1" applyBorder="1" applyAlignment="1">
      <alignment vertical="center"/>
    </xf>
    <xf numFmtId="0" fontId="10" fillId="0" borderId="15"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 fillId="2" borderId="4" xfId="10" applyFont="1" applyFill="1" applyBorder="1" applyAlignment="1" applyProtection="1">
      <alignment horizontal="center" vertical="center"/>
      <protection locked="0"/>
    </xf>
    <xf numFmtId="0" fontId="14" fillId="2" borderId="0" xfId="0" applyFont="1" applyFill="1" applyAlignment="1" applyProtection="1">
      <alignment vertical="center"/>
      <protection locked="0"/>
    </xf>
    <xf numFmtId="0" fontId="16" fillId="2" borderId="44" xfId="10" applyFont="1" applyFill="1" applyBorder="1" applyAlignment="1" applyProtection="1">
      <alignment horizontal="center" vertical="center"/>
      <protection locked="0"/>
    </xf>
    <xf numFmtId="0" fontId="16" fillId="14" borderId="7" xfId="10" applyFont="1" applyFill="1" applyBorder="1" applyAlignment="1" applyProtection="1">
      <alignment horizontal="center" vertical="center" wrapText="1"/>
      <protection locked="0"/>
    </xf>
    <xf numFmtId="0" fontId="19" fillId="2" borderId="21" xfId="10" applyFont="1" applyFill="1" applyBorder="1" applyAlignment="1" applyProtection="1">
      <alignment horizontal="center" vertical="center"/>
      <protection locked="0"/>
    </xf>
    <xf numFmtId="0" fontId="18" fillId="2" borderId="1" xfId="10" applyFont="1" applyFill="1" applyBorder="1" applyAlignment="1" applyProtection="1">
      <alignment vertical="center"/>
      <protection locked="0"/>
    </xf>
    <xf numFmtId="1" fontId="14" fillId="2" borderId="4" xfId="9" applyNumberFormat="1" applyFont="1" applyFill="1" applyBorder="1" applyAlignment="1" applyProtection="1">
      <alignment horizontal="center" vertical="center"/>
      <protection locked="0"/>
    </xf>
    <xf numFmtId="0" fontId="19" fillId="2" borderId="4" xfId="10" applyFont="1" applyFill="1" applyBorder="1" applyAlignment="1" applyProtection="1">
      <alignment horizontal="center" vertical="center"/>
      <protection locked="0"/>
    </xf>
    <xf numFmtId="1" fontId="14" fillId="0" borderId="4" xfId="0" applyNumberFormat="1" applyFont="1" applyFill="1" applyBorder="1" applyAlignment="1">
      <alignment horizontal="center" vertical="center"/>
    </xf>
    <xf numFmtId="0" fontId="16" fillId="16" borderId="7" xfId="10" applyFont="1" applyFill="1" applyBorder="1" applyAlignment="1" applyProtection="1">
      <alignment horizontal="left" vertical="center"/>
      <protection locked="0"/>
    </xf>
    <xf numFmtId="0" fontId="18" fillId="16" borderId="4" xfId="10" applyFont="1" applyFill="1" applyBorder="1" applyAlignment="1" applyProtection="1">
      <alignment horizontal="left" vertical="center"/>
      <protection locked="0"/>
    </xf>
    <xf numFmtId="0" fontId="16" fillId="16" borderId="7" xfId="10" applyFont="1" applyFill="1" applyBorder="1" applyAlignment="1" applyProtection="1">
      <alignment horizontal="center" vertical="center"/>
      <protection locked="0"/>
    </xf>
    <xf numFmtId="0" fontId="14" fillId="16" borderId="0" xfId="0" applyFont="1" applyFill="1" applyAlignment="1" applyProtection="1">
      <alignment vertical="center"/>
      <protection locked="0"/>
    </xf>
    <xf numFmtId="0" fontId="18" fillId="16" borderId="21" xfId="10" applyFont="1" applyFill="1" applyBorder="1" applyAlignment="1" applyProtection="1">
      <alignment horizontal="left" vertical="center"/>
      <protection locked="0"/>
    </xf>
    <xf numFmtId="0" fontId="16" fillId="16" borderId="4" xfId="10" applyFont="1" applyFill="1" applyBorder="1" applyAlignment="1" applyProtection="1">
      <alignment horizontal="center" vertical="center"/>
      <protection locked="0"/>
    </xf>
    <xf numFmtId="0" fontId="16" fillId="17" borderId="4" xfId="10" applyFont="1" applyFill="1" applyBorder="1" applyAlignment="1" applyProtection="1">
      <alignment horizontal="left" vertical="center"/>
      <protection locked="0"/>
    </xf>
    <xf numFmtId="0" fontId="18" fillId="17" borderId="4" xfId="10" applyFont="1" applyFill="1" applyBorder="1" applyAlignment="1" applyProtection="1">
      <alignment horizontal="left" vertical="center"/>
      <protection locked="0"/>
    </xf>
    <xf numFmtId="0" fontId="16" fillId="17" borderId="4" xfId="10" applyFont="1" applyFill="1" applyBorder="1" applyAlignment="1" applyProtection="1">
      <alignment horizontal="center" vertical="center"/>
      <protection locked="0"/>
    </xf>
    <xf numFmtId="0" fontId="16" fillId="17" borderId="7" xfId="10" applyFont="1" applyFill="1" applyBorder="1" applyAlignment="1" applyProtection="1">
      <alignment horizontal="center" vertical="center"/>
      <protection locked="0"/>
    </xf>
    <xf numFmtId="0" fontId="1" fillId="17" borderId="22" xfId="0" applyFont="1" applyFill="1" applyBorder="1" applyAlignment="1" applyProtection="1">
      <alignment horizontal="justify" vertical="center"/>
      <protection locked="0"/>
    </xf>
    <xf numFmtId="0" fontId="1" fillId="17" borderId="7" xfId="10" applyFont="1" applyFill="1" applyBorder="1" applyAlignment="1" applyProtection="1">
      <alignment horizontal="center" vertical="center"/>
      <protection locked="0"/>
    </xf>
    <xf numFmtId="0" fontId="14" fillId="17" borderId="0" xfId="0" applyFont="1" applyFill="1" applyAlignment="1" applyProtection="1">
      <alignment vertical="center"/>
      <protection locked="0"/>
    </xf>
    <xf numFmtId="0" fontId="16" fillId="17" borderId="7" xfId="10" applyFont="1" applyFill="1" applyBorder="1" applyAlignment="1" applyProtection="1">
      <alignment horizontal="center" vertical="center" wrapText="1"/>
      <protection locked="0"/>
    </xf>
    <xf numFmtId="0" fontId="1" fillId="15" borderId="7" xfId="10" applyFont="1" applyFill="1" applyBorder="1" applyAlignment="1" applyProtection="1">
      <alignment horizontal="center" vertical="center"/>
      <protection locked="0"/>
    </xf>
    <xf numFmtId="0" fontId="14" fillId="15" borderId="3" xfId="0" applyFont="1" applyFill="1" applyBorder="1" applyAlignment="1" applyProtection="1">
      <alignment vertical="center"/>
      <protection locked="0"/>
    </xf>
    <xf numFmtId="0" fontId="18" fillId="15" borderId="4" xfId="10" applyFont="1" applyFill="1" applyBorder="1" applyAlignment="1" applyProtection="1">
      <alignment vertical="center"/>
      <protection locked="0"/>
    </xf>
    <xf numFmtId="0" fontId="18" fillId="13" borderId="4" xfId="10" applyFont="1" applyFill="1" applyBorder="1" applyAlignment="1" applyProtection="1">
      <alignment vertical="center"/>
      <protection locked="0"/>
    </xf>
    <xf numFmtId="0" fontId="16" fillId="13" borderId="7" xfId="10" applyFont="1" applyFill="1" applyBorder="1" applyAlignment="1" applyProtection="1">
      <alignment horizontal="center" vertical="center" wrapText="1"/>
      <protection locked="0"/>
    </xf>
    <xf numFmtId="0" fontId="18" fillId="13" borderId="4" xfId="10" applyFont="1" applyFill="1" applyBorder="1" applyAlignment="1" applyProtection="1">
      <alignment horizontal="left" vertical="top"/>
      <protection locked="0"/>
    </xf>
    <xf numFmtId="0" fontId="16" fillId="15" borderId="7" xfId="10" applyFont="1" applyFill="1" applyBorder="1" applyAlignment="1" applyProtection="1">
      <alignment horizontal="center" vertical="center" wrapText="1"/>
      <protection locked="0"/>
    </xf>
    <xf numFmtId="0" fontId="9" fillId="13" borderId="4" xfId="0" applyFont="1" applyFill="1" applyBorder="1" applyAlignment="1">
      <alignment horizontal="center" vertical="center"/>
    </xf>
    <xf numFmtId="0" fontId="33" fillId="12" borderId="0" xfId="0" applyFont="1" applyFill="1" applyAlignment="1">
      <alignment vertical="center"/>
    </xf>
    <xf numFmtId="0" fontId="18" fillId="18" borderId="21" xfId="10" applyFont="1" applyFill="1" applyBorder="1" applyAlignment="1" applyProtection="1">
      <alignment vertical="center"/>
      <protection locked="0"/>
    </xf>
    <xf numFmtId="0" fontId="18" fillId="18" borderId="14" xfId="10" applyFont="1" applyFill="1" applyBorder="1" applyAlignment="1" applyProtection="1">
      <alignment vertical="center"/>
      <protection locked="0"/>
    </xf>
    <xf numFmtId="1" fontId="14" fillId="18" borderId="4" xfId="9" applyNumberFormat="1" applyFont="1" applyFill="1" applyBorder="1" applyAlignment="1" applyProtection="1">
      <alignment horizontal="center" vertical="center"/>
      <protection locked="0"/>
    </xf>
    <xf numFmtId="0" fontId="16" fillId="18" borderId="4" xfId="10" applyFont="1" applyFill="1" applyBorder="1" applyAlignment="1" applyProtection="1">
      <alignment horizontal="center" vertical="center"/>
      <protection locked="0"/>
    </xf>
    <xf numFmtId="0" fontId="19" fillId="18" borderId="21" xfId="10" applyFont="1" applyFill="1" applyBorder="1" applyAlignment="1" applyProtection="1">
      <alignment horizontal="center" vertical="center"/>
      <protection locked="0"/>
    </xf>
    <xf numFmtId="0" fontId="16" fillId="18" borderId="44" xfId="10" applyFont="1" applyFill="1" applyBorder="1" applyAlignment="1" applyProtection="1">
      <alignment horizontal="center" vertical="center"/>
      <protection locked="0"/>
    </xf>
    <xf numFmtId="0" fontId="16" fillId="18" borderId="3" xfId="10" applyFont="1" applyFill="1" applyBorder="1" applyAlignment="1" applyProtection="1">
      <alignment horizontal="center" vertical="center"/>
      <protection locked="0"/>
    </xf>
    <xf numFmtId="0" fontId="14" fillId="18" borderId="7" xfId="9" applyNumberFormat="1" applyFont="1" applyFill="1" applyBorder="1" applyAlignment="1" applyProtection="1">
      <alignment horizontal="center" vertical="center"/>
      <protection locked="0"/>
    </xf>
    <xf numFmtId="1" fontId="14" fillId="18" borderId="7" xfId="12" applyNumberFormat="1" applyFont="1" applyFill="1" applyBorder="1" applyAlignment="1" applyProtection="1">
      <alignment horizontal="center" vertical="center"/>
    </xf>
    <xf numFmtId="0" fontId="16" fillId="18" borderId="44" xfId="10" applyFont="1" applyFill="1" applyBorder="1" applyAlignment="1">
      <alignment horizontal="center" vertical="center"/>
    </xf>
    <xf numFmtId="0" fontId="16" fillId="18" borderId="21" xfId="10" applyFont="1" applyFill="1" applyBorder="1" applyAlignment="1" applyProtection="1">
      <alignment horizontal="center" vertical="center"/>
      <protection locked="0"/>
    </xf>
    <xf numFmtId="0" fontId="16" fillId="18" borderId="5" xfId="10" applyFont="1" applyFill="1" applyBorder="1" applyAlignment="1">
      <alignment horizontal="center" vertical="center"/>
    </xf>
    <xf numFmtId="0" fontId="19" fillId="18" borderId="24" xfId="10" applyFont="1" applyFill="1" applyBorder="1" applyAlignment="1">
      <alignment horizontal="center" vertical="center"/>
    </xf>
    <xf numFmtId="0" fontId="16" fillId="18" borderId="7" xfId="10" applyFont="1" applyFill="1" applyBorder="1" applyAlignment="1" applyProtection="1">
      <alignment horizontal="center" vertical="center"/>
      <protection locked="0"/>
    </xf>
    <xf numFmtId="0" fontId="16" fillId="18" borderId="33" xfId="10" applyFont="1" applyFill="1" applyBorder="1" applyAlignment="1">
      <alignment horizontal="center" vertical="center"/>
    </xf>
    <xf numFmtId="0" fontId="16" fillId="18" borderId="31" xfId="10" applyFont="1" applyFill="1" applyBorder="1" applyAlignment="1">
      <alignment horizontal="center" vertical="center"/>
    </xf>
    <xf numFmtId="165" fontId="14" fillId="18" borderId="43" xfId="12" applyNumberFormat="1" applyFont="1" applyFill="1" applyBorder="1" applyAlignment="1" applyProtection="1">
      <alignment horizontal="center" vertical="center"/>
    </xf>
    <xf numFmtId="0" fontId="14" fillId="18" borderId="0" xfId="0" applyFont="1" applyFill="1" applyAlignment="1">
      <alignment vertical="center"/>
    </xf>
    <xf numFmtId="0" fontId="16" fillId="18" borderId="7" xfId="10" applyFont="1" applyFill="1" applyBorder="1" applyAlignment="1" applyProtection="1">
      <alignment horizontal="center" vertical="center" wrapText="1"/>
      <protection locked="0"/>
    </xf>
    <xf numFmtId="0" fontId="18" fillId="18" borderId="4" xfId="10" applyFont="1" applyFill="1" applyBorder="1" applyAlignment="1" applyProtection="1">
      <alignment horizontal="left" vertical="top"/>
      <protection locked="0"/>
    </xf>
    <xf numFmtId="0" fontId="14" fillId="18" borderId="3" xfId="0" applyFont="1" applyFill="1" applyBorder="1" applyAlignment="1" applyProtection="1">
      <alignment vertical="center"/>
      <protection locked="0"/>
    </xf>
    <xf numFmtId="0" fontId="1" fillId="0" borderId="7" xfId="10" applyFont="1" applyFill="1" applyBorder="1" applyAlignment="1" applyProtection="1">
      <alignment horizontal="center" vertical="center" wrapText="1"/>
      <protection locked="0"/>
    </xf>
    <xf numFmtId="0" fontId="18" fillId="0" borderId="4" xfId="10" applyFont="1" applyFill="1" applyBorder="1" applyAlignment="1" applyProtection="1">
      <alignment vertical="center"/>
      <protection locked="0"/>
    </xf>
    <xf numFmtId="0" fontId="18" fillId="0" borderId="21" xfId="10" applyFont="1" applyFill="1" applyBorder="1" applyAlignment="1" applyProtection="1">
      <alignment vertical="center"/>
      <protection locked="0"/>
    </xf>
    <xf numFmtId="0" fontId="18" fillId="0" borderId="14" xfId="10" applyFont="1" applyFill="1" applyBorder="1" applyAlignment="1" applyProtection="1">
      <alignment vertical="center"/>
      <protection locked="0"/>
    </xf>
    <xf numFmtId="1" fontId="14" fillId="0" borderId="4" xfId="9" applyNumberFormat="1" applyFont="1" applyFill="1" applyBorder="1" applyAlignment="1" applyProtection="1">
      <alignment horizontal="center" vertical="center"/>
      <protection locked="0"/>
    </xf>
    <xf numFmtId="0" fontId="16" fillId="0" borderId="4" xfId="10" applyFont="1" applyFill="1" applyBorder="1" applyAlignment="1" applyProtection="1">
      <alignment horizontal="center" vertical="center"/>
      <protection locked="0"/>
    </xf>
    <xf numFmtId="0" fontId="19" fillId="0" borderId="21" xfId="10" applyFont="1" applyFill="1" applyBorder="1" applyAlignment="1" applyProtection="1">
      <alignment horizontal="center" vertical="center"/>
      <protection locked="0"/>
    </xf>
    <xf numFmtId="0" fontId="16" fillId="0" borderId="44" xfId="10" applyFont="1" applyFill="1" applyBorder="1" applyAlignment="1" applyProtection="1">
      <alignment horizontal="center" vertical="center"/>
      <protection locked="0"/>
    </xf>
    <xf numFmtId="0" fontId="16" fillId="0" borderId="3" xfId="10" applyFont="1" applyFill="1" applyBorder="1" applyAlignment="1" applyProtection="1">
      <alignment horizontal="center" vertical="center"/>
      <protection locked="0"/>
    </xf>
    <xf numFmtId="0" fontId="14" fillId="0" borderId="7" xfId="9" applyNumberFormat="1" applyFont="1" applyFill="1" applyBorder="1" applyAlignment="1" applyProtection="1">
      <alignment horizontal="center" vertical="center"/>
      <protection locked="0"/>
    </xf>
    <xf numFmtId="1" fontId="14" fillId="0" borderId="7" xfId="12" applyNumberFormat="1" applyFont="1" applyFill="1" applyBorder="1" applyAlignment="1" applyProtection="1">
      <alignment horizontal="center" vertical="center"/>
    </xf>
    <xf numFmtId="0" fontId="16" fillId="0" borderId="44" xfId="10" applyFont="1" applyFill="1" applyBorder="1" applyAlignment="1">
      <alignment horizontal="center" vertical="center"/>
    </xf>
    <xf numFmtId="0" fontId="16" fillId="0" borderId="21" xfId="10" applyFont="1" applyFill="1" applyBorder="1" applyAlignment="1" applyProtection="1">
      <alignment horizontal="center" vertical="center"/>
      <protection locked="0"/>
    </xf>
    <xf numFmtId="0" fontId="16" fillId="0" borderId="5" xfId="10" applyFont="1" applyFill="1" applyBorder="1" applyAlignment="1">
      <alignment horizontal="center" vertical="center"/>
    </xf>
    <xf numFmtId="0" fontId="19" fillId="0" borderId="24" xfId="10" applyFont="1" applyFill="1" applyBorder="1" applyAlignment="1">
      <alignment horizontal="center" vertical="center"/>
    </xf>
    <xf numFmtId="0" fontId="16" fillId="0" borderId="7" xfId="10" applyFont="1" applyFill="1" applyBorder="1" applyAlignment="1" applyProtection="1">
      <alignment horizontal="center" vertical="center"/>
      <protection locked="0"/>
    </xf>
    <xf numFmtId="0" fontId="16" fillId="0" borderId="33" xfId="10" applyFont="1" applyFill="1" applyBorder="1" applyAlignment="1">
      <alignment horizontal="center" vertical="center"/>
    </xf>
    <xf numFmtId="0" fontId="16" fillId="0" borderId="31" xfId="10" applyFont="1" applyFill="1" applyBorder="1" applyAlignment="1">
      <alignment horizontal="center" vertical="center"/>
    </xf>
    <xf numFmtId="165" fontId="14" fillId="0" borderId="43" xfId="12" applyNumberFormat="1" applyFont="1" applyFill="1" applyBorder="1" applyAlignment="1" applyProtection="1">
      <alignment horizontal="center" vertical="center"/>
    </xf>
    <xf numFmtId="0" fontId="14" fillId="0" borderId="0" xfId="0" applyFont="1" applyFill="1" applyAlignment="1">
      <alignment vertical="center"/>
    </xf>
    <xf numFmtId="0" fontId="14" fillId="0" borderId="1" xfId="9" applyNumberFormat="1" applyFont="1" applyBorder="1" applyAlignment="1" applyProtection="1">
      <alignment horizontal="left" vertical="center"/>
      <protection locked="0"/>
    </xf>
    <xf numFmtId="0" fontId="14" fillId="0" borderId="31" xfId="9" applyNumberFormat="1" applyFont="1" applyBorder="1" applyAlignment="1" applyProtection="1">
      <alignment horizontal="left" vertical="center"/>
      <protection locked="0"/>
    </xf>
    <xf numFmtId="0" fontId="14" fillId="0" borderId="54" xfId="9" applyNumberFormat="1" applyFont="1" applyBorder="1" applyAlignment="1" applyProtection="1">
      <alignment horizontal="left" vertical="center"/>
      <protection locked="0"/>
    </xf>
    <xf numFmtId="0" fontId="14" fillId="0" borderId="60" xfId="9" applyNumberFormat="1" applyFont="1" applyBorder="1" applyAlignment="1" applyProtection="1">
      <alignment horizontal="left" vertical="center"/>
      <protection locked="0"/>
    </xf>
    <xf numFmtId="0" fontId="14" fillId="0" borderId="24" xfId="9" applyNumberFormat="1" applyFont="1" applyBorder="1" applyAlignment="1" applyProtection="1">
      <alignment horizontal="left" vertical="center"/>
      <protection locked="0"/>
    </xf>
    <xf numFmtId="0" fontId="14" fillId="0" borderId="37" xfId="9" applyNumberFormat="1" applyFont="1" applyBorder="1" applyAlignment="1" applyProtection="1">
      <alignment horizontal="left" vertical="center"/>
      <protection locked="0"/>
    </xf>
    <xf numFmtId="0" fontId="14" fillId="18" borderId="1" xfId="9" applyNumberFormat="1" applyFont="1" applyFill="1" applyBorder="1" applyAlignment="1" applyProtection="1">
      <alignment horizontal="left" vertical="center"/>
      <protection locked="0"/>
    </xf>
    <xf numFmtId="0" fontId="14" fillId="18" borderId="31" xfId="9" applyNumberFormat="1" applyFont="1" applyFill="1" applyBorder="1" applyAlignment="1" applyProtection="1">
      <alignment horizontal="left" vertical="center"/>
      <protection locked="0"/>
    </xf>
    <xf numFmtId="0" fontId="17" fillId="3" borderId="25" xfId="10" applyFont="1" applyFill="1" applyBorder="1" applyAlignment="1">
      <alignment horizontal="center" vertical="center" wrapText="1"/>
    </xf>
    <xf numFmtId="0" fontId="17" fillId="3" borderId="15" xfId="10" applyFont="1" applyFill="1" applyBorder="1" applyAlignment="1">
      <alignment horizontal="center" vertical="center" wrapText="1"/>
    </xf>
    <xf numFmtId="0" fontId="17" fillId="3" borderId="42" xfId="10" applyFont="1" applyFill="1" applyBorder="1" applyAlignment="1">
      <alignment horizontal="center" vertical="center" wrapText="1"/>
    </xf>
    <xf numFmtId="0" fontId="17" fillId="3" borderId="51" xfId="10" applyFont="1" applyFill="1" applyBorder="1" applyAlignment="1">
      <alignment horizontal="center" vertical="center" wrapText="1"/>
    </xf>
    <xf numFmtId="0" fontId="17" fillId="3" borderId="23" xfId="10" applyFont="1" applyFill="1" applyBorder="1" applyAlignment="1">
      <alignment horizontal="center" vertical="center" wrapText="1"/>
    </xf>
    <xf numFmtId="0" fontId="17" fillId="3" borderId="39" xfId="10" applyFont="1" applyFill="1" applyBorder="1" applyAlignment="1">
      <alignment horizontal="center" vertical="center" wrapText="1"/>
    </xf>
    <xf numFmtId="0" fontId="32" fillId="0" borderId="48" xfId="0" applyFont="1" applyBorder="1" applyAlignment="1" applyProtection="1">
      <alignment horizontal="left" vertical="center"/>
      <protection locked="0"/>
    </xf>
    <xf numFmtId="0" fontId="32" fillId="0" borderId="1" xfId="0" applyFont="1" applyBorder="1" applyAlignment="1" applyProtection="1">
      <alignment horizontal="left" vertical="center"/>
      <protection locked="0"/>
    </xf>
    <xf numFmtId="0" fontId="32" fillId="0" borderId="74" xfId="0" applyFont="1" applyBorder="1" applyAlignment="1" applyProtection="1">
      <alignment horizontal="left" vertical="center"/>
      <protection locked="0"/>
    </xf>
    <xf numFmtId="0" fontId="14" fillId="0" borderId="1" xfId="12" applyNumberFormat="1" applyFont="1" applyBorder="1" applyAlignment="1" applyProtection="1">
      <alignment horizontal="left" vertical="center"/>
      <protection locked="0"/>
    </xf>
    <xf numFmtId="0" fontId="14" fillId="0" borderId="31" xfId="12" applyNumberFormat="1" applyFont="1" applyBorder="1" applyAlignment="1" applyProtection="1">
      <alignment horizontal="left" vertical="center"/>
      <protection locked="0"/>
    </xf>
    <xf numFmtId="0" fontId="14" fillId="18" borderId="1" xfId="12" applyNumberFormat="1" applyFont="1" applyFill="1" applyBorder="1" applyAlignment="1" applyProtection="1">
      <alignment horizontal="left" vertical="center"/>
      <protection locked="0"/>
    </xf>
    <xf numFmtId="0" fontId="14" fillId="18" borderId="31" xfId="12" applyNumberFormat="1" applyFont="1" applyFill="1" applyBorder="1" applyAlignment="1" applyProtection="1">
      <alignment horizontal="left" vertical="center"/>
      <protection locked="0"/>
    </xf>
    <xf numFmtId="0" fontId="14" fillId="0" borderId="1" xfId="9" applyNumberFormat="1" applyFont="1" applyFill="1" applyBorder="1" applyAlignment="1" applyProtection="1">
      <alignment horizontal="left" vertical="center"/>
      <protection locked="0"/>
    </xf>
    <xf numFmtId="0" fontId="14" fillId="0" borderId="31" xfId="9" applyNumberFormat="1" applyFont="1" applyFill="1" applyBorder="1" applyAlignment="1" applyProtection="1">
      <alignment horizontal="left" vertical="center"/>
      <protection locked="0"/>
    </xf>
    <xf numFmtId="0" fontId="17" fillId="3" borderId="6" xfId="10" applyFont="1" applyFill="1" applyBorder="1" applyAlignment="1">
      <alignment horizontal="center" vertical="center" wrapText="1"/>
    </xf>
    <xf numFmtId="0" fontId="17" fillId="3" borderId="20" xfId="10" applyFont="1" applyFill="1" applyBorder="1" applyAlignment="1">
      <alignment horizontal="center" vertical="center" wrapText="1"/>
    </xf>
    <xf numFmtId="0" fontId="17" fillId="3" borderId="49" xfId="10" applyFont="1" applyFill="1" applyBorder="1" applyAlignment="1">
      <alignment horizontal="center" vertical="center" wrapText="1"/>
    </xf>
    <xf numFmtId="0" fontId="17" fillId="3" borderId="8" xfId="10" applyFont="1" applyFill="1" applyBorder="1" applyAlignment="1">
      <alignment horizontal="center" vertical="center" wrapText="1"/>
    </xf>
    <xf numFmtId="0" fontId="17" fillId="3" borderId="30" xfId="10" applyFont="1" applyFill="1" applyBorder="1" applyAlignment="1">
      <alignment horizontal="center" vertical="center"/>
    </xf>
    <xf numFmtId="0" fontId="17" fillId="3" borderId="36" xfId="10" applyFont="1" applyFill="1" applyBorder="1" applyAlignment="1">
      <alignment horizontal="center" vertical="center"/>
    </xf>
    <xf numFmtId="0" fontId="17" fillId="3" borderId="29" xfId="10" applyFont="1" applyFill="1" applyBorder="1" applyAlignment="1">
      <alignment horizontal="center" vertical="center" wrapText="1"/>
    </xf>
    <xf numFmtId="0" fontId="17" fillId="3" borderId="41" xfId="10" applyFont="1" applyFill="1" applyBorder="1" applyAlignment="1">
      <alignment horizontal="center" vertical="center" wrapText="1"/>
    </xf>
    <xf numFmtId="0" fontId="17" fillId="3" borderId="30" xfId="10" applyFont="1" applyFill="1" applyBorder="1" applyAlignment="1">
      <alignment horizontal="center" vertical="center" wrapText="1"/>
    </xf>
    <xf numFmtId="0" fontId="17" fillId="3" borderId="36" xfId="10" applyFont="1" applyFill="1" applyBorder="1" applyAlignment="1">
      <alignment horizontal="center" vertical="center" wrapText="1"/>
    </xf>
    <xf numFmtId="0" fontId="17" fillId="3" borderId="56" xfId="10" applyFont="1" applyFill="1" applyBorder="1" applyAlignment="1">
      <alignment horizontal="center" vertical="center" wrapText="1"/>
    </xf>
    <xf numFmtId="0" fontId="17" fillId="3" borderId="55" xfId="10" applyFont="1" applyFill="1" applyBorder="1" applyAlignment="1">
      <alignment horizontal="center" vertical="center" wrapText="1"/>
    </xf>
    <xf numFmtId="0" fontId="17" fillId="3" borderId="45" xfId="10" applyFont="1" applyFill="1" applyBorder="1" applyAlignment="1" applyProtection="1">
      <alignment horizontal="center" vertical="center" wrapText="1"/>
      <protection locked="0"/>
    </xf>
    <xf numFmtId="0" fontId="17" fillId="3" borderId="57" xfId="10" applyFont="1" applyFill="1" applyBorder="1" applyAlignment="1" applyProtection="1">
      <alignment horizontal="center" vertical="center" wrapText="1"/>
      <protection locked="0"/>
    </xf>
    <xf numFmtId="0" fontId="17" fillId="3" borderId="27" xfId="10" applyFont="1" applyFill="1" applyBorder="1" applyAlignment="1" applyProtection="1">
      <alignment horizontal="center" vertical="center" wrapText="1"/>
      <protection locked="0"/>
    </xf>
    <xf numFmtId="0" fontId="17" fillId="3" borderId="45" xfId="10" applyFont="1" applyFill="1" applyBorder="1" applyAlignment="1">
      <alignment horizontal="center" vertical="center" wrapText="1"/>
    </xf>
    <xf numFmtId="0" fontId="17" fillId="3" borderId="27" xfId="10" applyFont="1" applyFill="1" applyBorder="1" applyAlignment="1">
      <alignment horizontal="center"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8" borderId="3"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11" fillId="3" borderId="19"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4" xfId="0" applyFont="1" applyFill="1" applyBorder="1" applyAlignment="1">
      <alignment horizontal="center" vertical="center"/>
    </xf>
    <xf numFmtId="3" fontId="9" fillId="8" borderId="3" xfId="0" applyNumberFormat="1"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wrapText="1"/>
      <protection locked="0"/>
    </xf>
    <xf numFmtId="9" fontId="9" fillId="8" borderId="3" xfId="12" applyFont="1" applyFill="1" applyBorder="1" applyAlignment="1" applyProtection="1">
      <alignment horizontal="left" vertical="center" wrapText="1"/>
      <protection locked="0"/>
    </xf>
    <xf numFmtId="9" fontId="9" fillId="8" borderId="31" xfId="12" applyFont="1" applyFill="1" applyBorder="1" applyAlignment="1" applyProtection="1">
      <alignment horizontal="left" vertical="center" wrapText="1"/>
      <protection locked="0"/>
    </xf>
    <xf numFmtId="0" fontId="9"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1" fillId="3" borderId="17" xfId="0" applyFont="1" applyFill="1" applyBorder="1" applyAlignment="1">
      <alignment horizontal="center" vertical="center"/>
    </xf>
    <xf numFmtId="9" fontId="9" fillId="8" borderId="3" xfId="12" applyFont="1" applyFill="1" applyBorder="1" applyAlignment="1" applyProtection="1">
      <alignment horizontal="left" vertical="center"/>
      <protection locked="0"/>
    </xf>
    <xf numFmtId="9" fontId="9" fillId="8" borderId="31" xfId="12" applyFont="1" applyFill="1" applyBorder="1" applyAlignment="1" applyProtection="1">
      <alignment horizontal="left" vertical="center"/>
      <protection locked="0"/>
    </xf>
    <xf numFmtId="0" fontId="9" fillId="9" borderId="19" xfId="0" applyFont="1" applyFill="1" applyBorder="1" applyAlignment="1">
      <alignment horizontal="center" vertical="center" wrapText="1"/>
    </xf>
    <xf numFmtId="0" fontId="9" fillId="9" borderId="18"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2" borderId="4" xfId="0" applyFont="1" applyFill="1" applyBorder="1" applyAlignment="1">
      <alignment horizontal="right" vertical="center"/>
    </xf>
    <xf numFmtId="0" fontId="11" fillId="3" borderId="25"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6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0" fillId="2" borderId="64" xfId="0" applyFont="1" applyFill="1" applyBorder="1" applyAlignment="1">
      <alignment horizontal="left" vertical="center"/>
    </xf>
    <xf numFmtId="0" fontId="10" fillId="2" borderId="10" xfId="0" applyFont="1" applyFill="1" applyBorder="1" applyAlignment="1">
      <alignment horizontal="left" vertical="center"/>
    </xf>
    <xf numFmtId="9" fontId="9" fillId="8" borderId="65" xfId="12" applyFont="1" applyFill="1" applyBorder="1" applyAlignment="1" applyProtection="1">
      <alignment horizontal="left" vertical="center"/>
      <protection locked="0"/>
    </xf>
    <xf numFmtId="9" fontId="9" fillId="8" borderId="47" xfId="12" applyFont="1" applyFill="1" applyBorder="1" applyAlignment="1" applyProtection="1">
      <alignment horizontal="left" vertical="center"/>
      <protection locked="0"/>
    </xf>
    <xf numFmtId="0" fontId="9" fillId="8" borderId="7" xfId="0" applyFont="1" applyFill="1" applyBorder="1" applyAlignment="1" applyProtection="1">
      <alignment horizontal="left" vertical="center"/>
      <protection locked="0"/>
    </xf>
    <xf numFmtId="0" fontId="9" fillId="8" borderId="4" xfId="0" applyFont="1" applyFill="1" applyBorder="1" applyAlignment="1" applyProtection="1">
      <alignment horizontal="left" vertical="center"/>
      <protection locked="0"/>
    </xf>
    <xf numFmtId="169" fontId="21" fillId="8" borderId="4" xfId="0" applyNumberFormat="1" applyFont="1" applyFill="1" applyBorder="1" applyAlignment="1" applyProtection="1">
      <alignment horizontal="left" vertical="center"/>
      <protection locked="0"/>
    </xf>
    <xf numFmtId="169" fontId="21" fillId="8" borderId="33" xfId="0" applyNumberFormat="1" applyFont="1" applyFill="1" applyBorder="1" applyAlignment="1" applyProtection="1">
      <alignment horizontal="left" vertical="center"/>
      <protection locked="0"/>
    </xf>
    <xf numFmtId="0" fontId="9" fillId="8" borderId="7" xfId="0" applyFont="1" applyFill="1" applyBorder="1" applyAlignment="1" applyProtection="1">
      <alignment horizontal="left" vertical="center" wrapText="1"/>
      <protection locked="0"/>
    </xf>
    <xf numFmtId="0" fontId="9" fillId="8" borderId="4" xfId="0" applyFont="1" applyFill="1" applyBorder="1" applyAlignment="1" applyProtection="1">
      <alignment horizontal="left" vertical="center" wrapText="1"/>
      <protection locked="0"/>
    </xf>
    <xf numFmtId="0" fontId="9" fillId="8" borderId="7" xfId="0" applyFont="1" applyFill="1" applyBorder="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1" fillId="8" borderId="65" xfId="0" applyFont="1" applyFill="1" applyBorder="1" applyAlignment="1" applyProtection="1">
      <alignment horizontal="left" vertical="center"/>
      <protection locked="0"/>
    </xf>
    <xf numFmtId="0" fontId="21" fillId="8" borderId="10" xfId="0" applyFont="1" applyFill="1" applyBorder="1" applyAlignment="1" applyProtection="1">
      <alignment horizontal="left" vertical="center"/>
      <protection locked="0"/>
    </xf>
    <xf numFmtId="0" fontId="21" fillId="8" borderId="47" xfId="0" applyFont="1" applyFill="1" applyBorder="1" applyAlignment="1" applyProtection="1">
      <alignment horizontal="left" vertical="center"/>
      <protection locked="0"/>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0" borderId="64" xfId="0" applyFont="1" applyBorder="1" applyAlignment="1">
      <alignment horizontal="right" vertical="center"/>
    </xf>
    <xf numFmtId="0" fontId="10" fillId="0" borderId="10" xfId="0" applyFont="1" applyBorder="1" applyAlignment="1">
      <alignment horizontal="right" vertical="center"/>
    </xf>
    <xf numFmtId="0" fontId="10" fillId="0" borderId="16" xfId="0" applyFont="1" applyBorder="1" applyAlignment="1">
      <alignment horizontal="right" vertical="center"/>
    </xf>
    <xf numFmtId="0" fontId="9" fillId="6" borderId="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center" vertical="center"/>
    </xf>
    <xf numFmtId="0" fontId="11" fillId="3" borderId="26" xfId="0" applyFont="1" applyFill="1" applyBorder="1" applyAlignment="1">
      <alignment horizontal="center" vertical="center" wrapText="1"/>
    </xf>
    <xf numFmtId="0" fontId="11" fillId="3" borderId="7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0" fillId="2" borderId="4" xfId="0" applyFill="1" applyBorder="1" applyAlignment="1">
      <alignment horizontal="center" vertical="center" wrapText="1"/>
    </xf>
  </cellXfs>
  <cellStyles count="20">
    <cellStyle name="Euro" xfId="1"/>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Milliers 2" xfId="18"/>
    <cellStyle name="Milliers_Fiche budget 7" xfId="15"/>
    <cellStyle name="Monétaire 2" xfId="16"/>
    <cellStyle name="Monétaire 3" xfId="19"/>
    <cellStyle name="Monétaire_Fiche budget 7" xfId="14"/>
    <cellStyle name="Normal" xfId="0" builtinId="0"/>
    <cellStyle name="Normal 2" xfId="2"/>
    <cellStyle name="Normal 3" xfId="10"/>
    <cellStyle name="Normal 4" xfId="13"/>
    <cellStyle name="Normal 5" xfId="17"/>
    <cellStyle name="Pourcentage" xfId="9" builtinId="5"/>
    <cellStyle name="Pourcentage 2" xfId="11"/>
    <cellStyle name="Pourcentage 3" xfId="12"/>
  </cellStyles>
  <dxfs count="11">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FF0000"/>
      </font>
    </dxf>
    <dxf>
      <font>
        <color rgb="FFFF0000"/>
      </font>
    </dxf>
    <dxf>
      <font>
        <color rgb="FFFF0000"/>
      </font>
    </dxf>
    <dxf>
      <font>
        <color rgb="FFE84242"/>
      </font>
    </dxf>
    <dxf>
      <font>
        <color rgb="FFE84242"/>
      </font>
    </dxf>
    <dxf>
      <font>
        <color rgb="FFE84242"/>
      </font>
    </dxf>
    <dxf>
      <fill>
        <patternFill>
          <bgColor rgb="FFFAF0F0"/>
        </patternFill>
      </fill>
    </dxf>
  </dxfs>
  <tableStyles count="0" defaultTableStyle="TableStyleMedium2" defaultPivotStyle="PivotStyleLight16"/>
  <colors>
    <mruColors>
      <color rgb="FFFF99FF"/>
      <color rgb="FFFBE1E1"/>
      <color rgb="FFF0F8FA"/>
      <color rgb="FFFAF0F0"/>
      <color rgb="FFE84242"/>
      <color rgb="FFCCFF66"/>
      <color rgb="FFFF8E8E"/>
      <color rgb="FFF4F7ED"/>
      <color rgb="FFF8EDEC"/>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2"/>
  <sheetViews>
    <sheetView zoomScale="86" zoomScaleNormal="86" workbookViewId="0">
      <pane xSplit="3" ySplit="8" topLeftCell="D9" activePane="bottomRight" state="frozen"/>
      <selection pane="topRight" activeCell="D1" sqref="D1"/>
      <selection pane="bottomLeft" activeCell="A7" sqref="A7"/>
      <selection pane="bottomRight" activeCell="B29" sqref="A29:XFD36"/>
    </sheetView>
  </sheetViews>
  <sheetFormatPr baseColWidth="10" defaultColWidth="11.44140625" defaultRowHeight="15.6" outlineLevelCol="1" x14ac:dyDescent="0.25"/>
  <cols>
    <col min="1" max="1" width="11.44140625" style="9"/>
    <col min="2" max="2" width="8.6640625" style="9" customWidth="1"/>
    <col min="3" max="3" width="50" style="10" customWidth="1"/>
    <col min="4" max="4" width="10.109375" style="10" customWidth="1"/>
    <col min="5" max="5" width="13" style="10" customWidth="1"/>
    <col min="6" max="6" width="9.33203125" style="10" customWidth="1"/>
    <col min="7" max="8" width="10" style="10" customWidth="1"/>
    <col min="9" max="11" width="11.44140625" style="10" customWidth="1"/>
    <col min="12" max="12" width="12.6640625" style="10" customWidth="1"/>
    <col min="13" max="15" width="12.33203125" style="10" customWidth="1"/>
    <col min="16" max="16" width="11.6640625" style="11" customWidth="1"/>
    <col min="17" max="27" width="12.33203125" style="10" customWidth="1"/>
    <col min="28" max="28" width="34.109375" style="10" customWidth="1"/>
    <col min="29" max="29" width="10.6640625" style="10" hidden="1" customWidth="1" outlineLevel="1"/>
    <col min="30" max="30" width="11.33203125" style="10" hidden="1" customWidth="1" outlineLevel="1"/>
    <col min="31" max="31" width="10.6640625" style="10" hidden="1" customWidth="1" outlineLevel="1"/>
    <col min="32" max="32" width="11.44140625" style="10" collapsed="1"/>
    <col min="33" max="16384" width="11.44140625" style="10"/>
  </cols>
  <sheetData>
    <row r="1" spans="1:31" ht="6" customHeight="1" x14ac:dyDescent="0.25"/>
    <row r="2" spans="1:31" ht="31.2" x14ac:dyDescent="0.25">
      <c r="A2" s="10"/>
      <c r="H2" s="357" t="s">
        <v>23</v>
      </c>
      <c r="I2" s="355" t="s">
        <v>24</v>
      </c>
      <c r="J2" s="356" t="s">
        <v>25</v>
      </c>
      <c r="K2" s="355" t="s">
        <v>26</v>
      </c>
      <c r="L2" s="355" t="s">
        <v>27</v>
      </c>
      <c r="M2" s="362"/>
      <c r="O2" s="362"/>
    </row>
    <row r="3" spans="1:31" ht="18" customHeight="1" x14ac:dyDescent="0.25">
      <c r="A3" s="10"/>
      <c r="G3" s="25" t="s">
        <v>28</v>
      </c>
      <c r="H3" s="354">
        <f>SUM(I3:L3)</f>
        <v>1119</v>
      </c>
      <c r="I3" s="359">
        <f>SUMIFS($AD$9:$AD$89,$G$9:$G$89,Paramétrage!$D$6,Enseignements!$D$9:$D$89,"FI")+SUMIFS($AD$9:$AD$89,$G$9:$G$89,Paramétrage!$D$7,Enseignements!$D$9:$D$89,"FI")+SUMIFS($AD$9:$AD$89,$G$9:$G$89,Paramétrage!$D$8,Enseignements!$D$9:$D$89,"FI")+SUMIFS($AD$9:$AD$89,$G$9:$G$89,Paramétrage!$D$10,Enseignements!$D$9:$D$89,"FI")+SUMIFS($AD$9:$AD$89,$G$9:$G$89,Paramétrage!$D$11,Enseignements!$D$9:$D$89,"FI")+SUMIFS($AD$9:$AD$89,$G$9:$G$89,Paramétrage!$D$13,Enseignements!$D$9:$D$89,"FI")+SUMIFS($AD$9:$AD$89,$G$9:$G$89,Paramétrage!$D$14,Enseignements!$D$9:$D$89,"FI")+SUMIFS($AD$9:$AD$89,$G$9:$G$89,Paramétrage!$D$16,Enseignements!$D$9:$D$89,"FI")+SUMIFS($AD$9:$AD$89,$G$9:$G$89,Paramétrage!$D$17,Enseignements!$D$9:$D$89,"FI")+SUMIFS($AD$9:$AD$89,$G$9:$G$89,Paramétrage!$D$19,Enseignements!$D$9:$D$89,"FI")+SUMIFS($AD$9:$AD$89,$G$9:$G$89,Paramétrage!$D$20,Enseignements!$D$9:$D$89,"FI")+SUMIFS($AD$9:$AD$89,$G$9:$G$89,Paramétrage!$D$23,Enseignements!$D$9:$D$89,"FI")+SUMIFS($AD$9:$AD$89,$G$9:$G$89,Paramétrage!$D$24,Enseignements!$D$9:$D$89,"FI")+SUMIFS($AD$9:$AD$89,$G$9:$G$89,Paramétrage!$D$26,Enseignements!$D$9:$D$89,"FI")+SUMIFS($AD$9:$AD$89,$G$9:$G$89,Paramétrage!$D$27,Enseignements!$D$9:$D$89,"FI")+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329</v>
      </c>
      <c r="J3" s="359">
        <f>SUMIFS($AD$9:$AD$89,$G$9:$G$89,Paramétrage!$D$9,Enseignements!$D$9:$D$89,"FI")+SUMIFS($AD$9:$AD$89,$G$9:$G$89,Paramétrage!$D$9,Enseignements!$D$9:$D$89,"FI/FC")+SUMIFS($AD$9:$AD$89,$G$9:$G$89,Paramétrage!$D$9,Enseignements!$D$9:$D$89,"FI/ALT")+SUMIFS($AD$9:$AD$89,$G$9:$G$89,Paramétrage!$D$9,Enseignements!$D$9:$D$89,"FI/FC/ALT")</f>
        <v>420</v>
      </c>
      <c r="K3" s="359">
        <f>SUMIFS($AD$9:$AD$89,$G$9:$G$89,Paramétrage!$D$15,Enseignements!$D$9:$D$89,"FI")+SUMIFS($AD$9:$AD$89,$G$9:$G$89,Paramétrage!$D$15,Enseignements!$D$9:$D$89,"FI/FC")+SUMIFS($AD$9:$AD$89,$G$9:$G$89,Paramétrage!$D$15,Enseignements!$D$9:$D$89,"FI/ALT")+SUMIFS($AD$9:$AD$89,$G$9:$G$89,Paramétrage!$D$15,Enseignements!$D$9:$D$89,"FI/FC/ALT")</f>
        <v>0</v>
      </c>
      <c r="L3" s="359">
        <f>SUMIFS($AD$9:$AD$89,$G$9:$G$89,Paramétrage!$D$18,Enseignements!$D$9:$D$89,"FI")+SUMIFS($AD$9:$AD$89,$G$9:$G$89,Paramétrage!$D$18,Enseignements!$D$9:$D$89,"FI/FC")+SUMIFS($AD$9:$AD$89,$G$9:$G$89,Paramétrage!$D$18,Enseignements!$D$9:$D$89,"FI/ALT")+SUMIFS($AD$9:$AD$89,$G$9:$G$89,Paramétrage!$D$18,Enseignements!$D$9:$D$89,"FI/FC/ALT")+SUMIFS($AD$9:$AD$89,$G$9:$G$89,Paramétrage!$D$21,Enseignements!$D$9:$D$89,"FI")+SUMIFS($AD$9:$AD$89,$G$9:$G$89,Paramétrage!$D$21,Enseignements!$D$9:$D$89,"FI/FC")+SUMIFS($AD$9:$AD$89,$G$9:$G$89,Paramétrage!$D$21,Enseignements!$D$9:$D$89,"FI/ALT")+SUMIFS($AD$9:$AD$89,$G$9:$G$89,Paramétrage!$D$21,Enseignements!$D$9:$D$89,"FI/FC/ALT")+SUMIFS($AD$9:$AD$89,$G$9:$G$89,Paramétrage!$D$25,Enseignements!$D$9:$D$89,"FI")+SUMIFS($AD$9:$AD$89,$G$9:$G$89,Paramétrage!$D$25,Enseignements!$D$9:$D$89,"FI/FC")+SUMIFS($AD$9:$AD$89,$G$9:$G$89,Paramétrage!$D$25,Enseignements!$D$9:$D$89,"FI/ALT")+SUMIFS($AD$9:$AD$89,$G$9:$G$89,Paramétrage!$D$25,Enseignements!$D$9:$D$89,"FI/FC/ALT")+SUMIFS($AD$9:$AD$89,$G$9:$G$89,Paramétrage!$D$22,Enseignements!$D$9:$D$89,"FI")+SUMIFS($AD$9:$AD$89,$G$9:$G$89,Paramétrage!$D$22,Enseignements!$D$9:$D$89,"FI/FC")+SUMIFS($AD$9:$AD$89,$G$9:$G$89,Paramétrage!$D$22,Enseignements!$D$9:$D$89,"FI/ALT")+SUMIFS($AD$9:$AD$89,$G$9:$G$89,Paramétrage!$D$22,Enseignements!$D$9:$D$89,"FI/FC/ALT")</f>
        <v>370</v>
      </c>
      <c r="M3" s="362"/>
    </row>
    <row r="4" spans="1:31" ht="18" customHeight="1" x14ac:dyDescent="0.25">
      <c r="A4" s="10"/>
      <c r="G4" s="25" t="s">
        <v>29</v>
      </c>
      <c r="H4" s="354">
        <f>SUM(I4:L4)</f>
        <v>1119</v>
      </c>
      <c r="I4" s="359">
        <f>SUMIFS($AD$9:$AD$89,$G$9:$G$89,Paramétrage!$D$6,Enseignements!$D$9:$D$89,"FC")+SUMIFS($AD$9:$AD$89,$G$9:$G$89,Paramétrage!$D$7,Enseignements!$D$9:$D$89,"FC")+SUMIFS($AD$9:$AD$89,$G$9:$G$89,Paramétrage!$D$8,Enseignements!$D$9:$D$89,"FC")+SUMIFS($AD$9:$AD$89,$G$9:$G$89,Paramétrage!$D$10,Enseignements!$D$9:$D$89,"FC")+SUMIFS($AD$9:$AD$89,$G$9:$G$89,Paramétrage!$D$11,Enseignements!$D$9:$D$89,"FC")+SUMIFS($AD$9:$AD$89,$G$9:$G$89,Paramétrage!$D$13,Enseignements!$D$9:$D$89,"FC")+SUMIFS($AD$9:$AD$89,$G$9:$G$89,Paramétrage!$D$14,Enseignements!$D$9:$D$89,"FC")+SUMIFS($AD$9:$AD$89,$G$9:$G$89,Paramétrage!$D$16,Enseignements!$D$9:$D$89,"FC")+SUMIFS($AD$9:$AD$89,$G$9:$G$89,Paramétrage!$D$17,Enseignements!$D$9:$D$89,"FC")+SUMIFS($AD$9:$AD$89,$G$9:$G$89,Paramétrage!$D$19,Enseignements!$D$9:$D$89,"FC")+SUMIFS($AD$9:$AD$89,$G$9:$G$89,Paramétrage!$D$20,Enseignements!$D$9:$D$89,"FC")+SUMIFS($AD$9:$AD$89,$G$9:$G$89,Paramétrage!$D$23,Enseignements!$D$9:$D$89,"FC")+SUMIFS($AD$9:$AD$89,$G$9:$G$89,Paramétrage!$D$24,Enseignements!$D$9:$D$89,"FC")+SUMIFS($AD$9:$AD$89,$G$9:$G$89,Paramétrage!$D$26,Enseignements!$D$9:$D$89,"FC")+SUMIFS($AD$9:$AD$89,$G$9:$G$89,Paramétrage!$D$27,Enseignements!$D$9:$D$89,"FC")+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329</v>
      </c>
      <c r="J4" s="386">
        <f>SUMIFS($AD$9:$AD$89,$G$9:$G$89,Paramétrage!$D$9,Enseignements!$D$9:$D$89,"FC")+SUMIFS($AD$9:$AD$89,$G$9:$G$89,Paramétrage!$D$9,Enseignements!$D$9:$D$89,"FI/FC")+SUMIFS($AD$9:$AD$89,$G$9:$G$89,Paramétrage!$D$9,Enseignements!$D$9:$D$89,"FC/ALT")+SUMIFS($AD$9:$AD$89,$G$9:$G$89,Paramétrage!$D$9,Enseignements!$D$9:$D$89,"FI/FC/ALT")</f>
        <v>420</v>
      </c>
      <c r="K4" s="359">
        <f>SUMIFS($AD$9:$AD$89,$G$9:$G$89,Paramétrage!$D$15,Enseignements!$D$9:$D$89,"FC")+SUMIFS($AD$9:$AD$89,$G$9:$G$89,Paramétrage!$D$15,Enseignements!$D$9:$D$89,"FI/FC")+SUMIFS($AD$9:$AD$89,$G$9:$G$89,Paramétrage!$D$15,Enseignements!$D$9:$D$89,"FC/ALT")+SUMIFS($AD$9:$AD$89,$G$9:$G$89,Paramétrage!$D$15,Enseignements!$D$9:$D$89,"FI/FC/ALT")</f>
        <v>0</v>
      </c>
      <c r="L4" s="359">
        <f>SUMIFS($AD$9:$AD$89,$G$9:$G$89,Paramétrage!$D$18,Enseignements!$D$9:$D$89,"FC")+SUMIFS($AD$9:$AD$89,$G$9:$G$89,Paramétrage!$D$18,Enseignements!$D$9:$D$89,"FI/FC")+SUMIFS($AD$9:$AD$89,$G$9:$G$89,Paramétrage!$D$18,Enseignements!$D$9:$D$89,"FC/ALT")+SUMIFS($AD$9:$AD$89,$G$9:$G$89,Paramétrage!$D$18,Enseignements!$D$9:$D$89,"FI/FC/ALT")+SUMIFS($AD$9:$AD$89,$G$9:$G$89,Paramétrage!$D$21,Enseignements!$D$9:$D$89,"FC")+SUMIFS($AD$9:$AD$89,$G$9:$G$89,Paramétrage!$D$21,Enseignements!$D$9:$D$89,"FI/FC")+SUMIFS($AD$9:$AD$89,$G$9:$G$89,Paramétrage!$D$21,Enseignements!$D$9:$D$89,"FC/ALT")+SUMIFS($AD$9:$AD$89,$G$9:$G$89,Paramétrage!$D$21,Enseignements!$D$9:$D$89,"FI/FC/ALT")+SUMIFS($AD$9:$AD$89,$G$9:$G$89,Paramétrage!$D$25,Enseignements!$D$9:$D$89,"FC")+SUMIFS($AD$9:$AD$89,$G$9:$G$89,Paramétrage!$D$25,Enseignements!$D$9:$D$89,"FI/FC")+SUMIFS($AD$9:$AD$89,$G$9:$G$89,Paramétrage!$D$25,Enseignements!$D$9:$D$89,"FC/ALT")+SUMIFS($AD$9:$AD$89,$G$9:$G$89,Paramétrage!$D$25,Enseignements!$D$9:$D$89,"FI/FC/ALT")+SUMIFS($AD$9:$AD$89,$G$9:$G$89,Paramétrage!$D$22,Enseignements!$D$9:$D$89,"FC")+SUMIFS($AD$9:$AD$89,$G$9:$G$89,Paramétrage!$D$22,Enseignements!$D$9:$D$89,"FI/FC")+SUMIFS($AD$9:$AD$89,$G$9:$G$89,Paramétrage!$D$22,Enseignements!$D$9:$D$89,"FC/ALT")+SUMIFS($AD$9:$AD$89,$G$9:$G$89,Paramétrage!$D$22,Enseignements!$D$9:$D$89,"FI/FC/ALT")</f>
        <v>370</v>
      </c>
      <c r="M4" s="362"/>
    </row>
    <row r="5" spans="1:31" ht="18" customHeight="1" x14ac:dyDescent="0.25">
      <c r="A5" s="10"/>
      <c r="G5" s="25" t="s">
        <v>30</v>
      </c>
      <c r="H5" s="354">
        <f>SUM(I5:L5)</f>
        <v>428</v>
      </c>
      <c r="I5" s="571">
        <f>SUMIFS($AD$9:$AD$89,$G$9:$G$89,Paramétrage!$D$6,Enseignements!$D$9:$D$89,"ALT")+SUMIFS($AD$9:$AD$89,$G$9:$G$89,Paramétrage!$D$7,Enseignements!$D$9:$D$89,"ALT")+SUMIFS($AD$9:$AD$89,$G$9:$G$89,Paramétrage!$D$8,Enseignements!$D$9:$D$89,"ALT")+SUMIFS($AD$9:$AD$89,$G$9:$G$89,Paramétrage!$D$10,Enseignements!$D$9:$D$89,"ALT")+SUMIFS($AD$9:$AD$89,$G$9:$G$89,Paramétrage!$D$11,Enseignements!$D$9:$D$89,"ALT")+SUMIFS($AD$9:$AD$89,$G$9:$G$89,Paramétrage!$D$13,Enseignements!$D$9:$D$89,"ALT")+SUMIFS($AD$9:$AD$89,$G$9:$G$89,Paramétrage!$D$14,Enseignements!$D$9:$D$89,"ALT")+SUMIFS($AD$9:$AD$89,$G$9:$G$89,Paramétrage!$D$16,Enseignements!$D$9:$D$89,"ALT")+SUMIFS($AD$9:$AD$89,$G$9:$G$89,Paramétrage!$D$17,Enseignements!$D$9:$D$89,"ALT")+SUMIFS($AD$9:$AD$89,$G$9:$G$89,Paramétrage!$D$19,Enseignements!$D$9:$D$89,"ALT")+SUMIFS($AD$9:$AD$89,$G$9:$G$89,Paramétrage!$D$20,Enseignements!$D$9:$D$89,"ALT")+SUMIFS($AD$9:$AD$89,$G$9:$G$89,Paramétrage!$D$23,Enseignements!$D$9:$D$89,"ALT")+SUMIFS($AD$9:$AD$89,$G$9:$G$89,Paramétrage!$D$24,Enseignements!$D$9:$D$89,"ALT")+SUMIFS($AD$9:$AD$89,$G$9:$G$89,Paramétrage!$D$26,Enseignements!$D$9:$D$89,"ALT")+SUMIFS($AD$9:$AD$89,$G$9:$G$89,Paramétrage!$D$27,Enseignements!$D$9:$D$89,"ALT")+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328</v>
      </c>
      <c r="J5" s="386">
        <f>SUMIFS($AD$9:$AD$89,$G$9:$G$89,Paramétrage!$D$9,Enseignements!$D$9:$D$89,"ALT")+SUMIFS($AD$9:$AD$89,$G$9:$G$89,Paramétrage!$D$9,Enseignements!$D$9:$D$89,"FI/ALT")+SUMIFS($AD$9:$AD$89,$G$9:$G$89,Paramétrage!$D$9,Enseignements!$D$9:$D$89,"FC/ALT")+SUMIFS($AD$9:$AD$89,$G$9:$G$89,Paramétrage!$D$9,Enseignements!$D$9:$D$89,"FI/FC/ALT")+SUMIFS($AD$9:$AD$89,$G$9:$G$89,Paramétrage!$D$12,Enseignements!$D$9:$D$89,"ALT")+SUMIFS($AD$9:$AD$89,$G$9:$G$89,Paramétrage!$D$12,Enseignements!$D$9:$D$89,"FI/ALT")+SUMIFS($AD$9:$AD$89,$G$9:$G$89,Paramétrage!$D$12,Enseignements!$D$9:$D$89,"FC/ALT")+SUMIFS($AD$9:$AD$89,$G$9:$G$89,Paramétrage!$D$12,Enseignements!$D$9:$D$89,"FI/FC/ALT")</f>
        <v>0</v>
      </c>
      <c r="K5" s="359">
        <f>SUMIFS($AD$9:$AD$89,$G$9:$G$89,Paramétrage!$D$15,Enseignements!$D$9:$D$89,"ALT")+SUMIFS($AD$9:$AD$89,$G$9:$G$89,Paramétrage!$D$15,Enseignements!$D$9:$D$89,"FI/ALT")+SUMIFS($AD$9:$AD$89,$G$9:$G$89,Paramétrage!$D$15,Enseignements!$D$9:$D$89,"FC/ALT")+SUMIFS($AD$9:$AD$89,$G$9:$G$89,Paramétrage!$D$15,Enseignements!$D$9:$D$89,"FI/FC/ALT")</f>
        <v>100</v>
      </c>
      <c r="L5" s="359">
        <f>SUMIFS($AD$9:$AD$89,$G$9:$G$89,Paramétrage!$D$18,Enseignements!$D$9:$D$89,"ALT")+SUMIFS($AD$9:$AD$89,$G$9:$G$89,Paramétrage!$D$18,Enseignements!$D$9:$D$89,"FI/ALT")+SUMIFS($AD$9:$AD$89,$G$9:$G$89,Paramétrage!$D$18,Enseignements!$D$9:$D$89,"FC/ALT")+SUMIFS($AD$9:$AD$89,$G$9:$G$89,Paramétrage!$D$18,Enseignements!$D$9:$D$89,"FI/FC/ALT")+SUMIFS($AD$9:$AD$89,$G$9:$G$89,Paramétrage!$D$21,Enseignements!$D$9:$D$89,"ALT")+SUMIFS($AD$9:$AD$89,$G$9:$G$89,Paramétrage!$D$21,Enseignements!$D$9:$D$89,"FI/ALT")+SUMIFS($AD$9:$AD$89,$G$9:$G$89,Paramétrage!$D$21,Enseignements!$D$9:$D$89,"FC/ALT")+SUMIFS($AD$9:$AD$89,$G$9:$G$89,Paramétrage!$D$21,Enseignements!$D$9:$D$89,"FI/FC/ALT")+SUMIFS($AD$9:$AD$89,$G$9:$G$89,Paramétrage!$D$25,Enseignements!$D$9:$D$89,"ALT")+SUMIFS($AD$9:$AD$89,$G$9:$G$89,Paramétrage!$D$25,Enseignements!$D$9:$D$89,"FI/ALT")+SUMIFS($AD$9:$AD$89,$G$9:$G$89,Paramétrage!$D$25,Enseignements!$D$9:$D$89,"FC/ALT")+SUMIFS($AD$9:$AD$89,$G$9:$G$89,Paramétrage!$D$25,Enseignements!$D$9:$D$89,"FI/FC/ALT")++SUMIFS($AD$9:$AD$89,$G$9:$G$89,Paramétrage!$D$22,Enseignements!$D$9:$D$89,"ALT")+SUMIFS($AD$9:$AD$89,$G$9:$G$89,Paramétrage!$D$22,Enseignements!$D$9:$D$89,"FI/ALT")+SUMIFS($AD$9:$AD$89,$G$9:$G$89,Paramétrage!$D$22,Enseignements!$D$9:$D$89,"FC/ALT")+SUMIFS($AD$9:$AD$89,$G$9:$G$89,Paramétrage!$D$22,Enseignements!$D$9:$D$89,"FI/FC/ALT")</f>
        <v>0</v>
      </c>
      <c r="M5" s="362"/>
      <c r="W5" s="358"/>
    </row>
    <row r="6" spans="1:31" ht="6.45" customHeight="1" thickBot="1" x14ac:dyDescent="0.3">
      <c r="A6" s="10"/>
      <c r="B6" s="10"/>
      <c r="H6" s="377">
        <f>SUM(H3:H5)/(IF(H3&lt;&gt;0,1,0)+IF(H4&lt;&gt;0,1,0)+IF(H5&lt;&gt;0,1,0))</f>
        <v>888.66666666666663</v>
      </c>
    </row>
    <row r="7" spans="1:31" ht="68.7" customHeight="1" x14ac:dyDescent="0.3">
      <c r="A7" s="12"/>
      <c r="B7" s="659" t="s">
        <v>31</v>
      </c>
      <c r="C7" s="663" t="s">
        <v>32</v>
      </c>
      <c r="D7" s="663" t="s">
        <v>33</v>
      </c>
      <c r="E7" s="665" t="s">
        <v>34</v>
      </c>
      <c r="F7" s="663" t="s">
        <v>35</v>
      </c>
      <c r="G7" s="667" t="s">
        <v>36</v>
      </c>
      <c r="H7" s="667" t="s">
        <v>37</v>
      </c>
      <c r="I7" s="665" t="s">
        <v>38</v>
      </c>
      <c r="J7" s="669" t="s">
        <v>39</v>
      </c>
      <c r="K7" s="661" t="s">
        <v>40</v>
      </c>
      <c r="L7" s="645" t="s">
        <v>41</v>
      </c>
      <c r="M7" s="645"/>
      <c r="N7" s="645"/>
      <c r="O7" s="646"/>
      <c r="P7" s="38" t="s">
        <v>42</v>
      </c>
      <c r="Q7" s="38" t="s">
        <v>43</v>
      </c>
      <c r="R7" s="13" t="s">
        <v>44</v>
      </c>
      <c r="S7" s="13" t="s">
        <v>45</v>
      </c>
      <c r="T7" s="59" t="s">
        <v>46</v>
      </c>
      <c r="U7" s="329" t="s">
        <v>3</v>
      </c>
      <c r="V7" s="330" t="s">
        <v>5</v>
      </c>
      <c r="W7" s="330" t="s">
        <v>47</v>
      </c>
      <c r="X7" s="330" t="s">
        <v>48</v>
      </c>
      <c r="Y7" s="331" t="s">
        <v>49</v>
      </c>
      <c r="Z7" s="644" t="s">
        <v>50</v>
      </c>
      <c r="AA7" s="645"/>
      <c r="AB7" s="646"/>
      <c r="AC7" s="646" t="s">
        <v>51</v>
      </c>
      <c r="AD7" s="674" t="s">
        <v>52</v>
      </c>
      <c r="AE7" s="646" t="s">
        <v>53</v>
      </c>
    </row>
    <row r="8" spans="1:31" ht="16.2" thickBot="1" x14ac:dyDescent="0.35">
      <c r="A8" s="12"/>
      <c r="B8" s="660"/>
      <c r="C8" s="664"/>
      <c r="D8" s="664"/>
      <c r="E8" s="666"/>
      <c r="F8" s="664"/>
      <c r="G8" s="668"/>
      <c r="H8" s="668"/>
      <c r="I8" s="666"/>
      <c r="J8" s="670"/>
      <c r="K8" s="662"/>
      <c r="L8" s="648"/>
      <c r="M8" s="648"/>
      <c r="N8" s="648"/>
      <c r="O8" s="649"/>
      <c r="P8" s="371"/>
      <c r="Q8" s="14">
        <f t="shared" ref="Q8:Y8" si="0">Q49+Q90</f>
        <v>346</v>
      </c>
      <c r="R8" s="14">
        <f t="shared" si="0"/>
        <v>54</v>
      </c>
      <c r="S8" s="14">
        <f t="shared" si="0"/>
        <v>400</v>
      </c>
      <c r="T8" s="353">
        <f t="shared" si="0"/>
        <v>439.5</v>
      </c>
      <c r="U8" s="505">
        <f t="shared" si="0"/>
        <v>181</v>
      </c>
      <c r="V8" s="506">
        <f t="shared" si="0"/>
        <v>0</v>
      </c>
      <c r="W8" s="506">
        <f t="shared" si="0"/>
        <v>219</v>
      </c>
      <c r="X8" s="506">
        <f t="shared" si="0"/>
        <v>0</v>
      </c>
      <c r="Y8" s="506">
        <f t="shared" si="0"/>
        <v>400</v>
      </c>
      <c r="Z8" s="647"/>
      <c r="AA8" s="648"/>
      <c r="AB8" s="649"/>
      <c r="AC8" s="649"/>
      <c r="AD8" s="675"/>
      <c r="AE8" s="649"/>
    </row>
    <row r="9" spans="1:31" x14ac:dyDescent="0.25">
      <c r="A9" s="671" t="s">
        <v>54</v>
      </c>
      <c r="B9" s="572" t="s">
        <v>336</v>
      </c>
      <c r="C9" s="573" t="s">
        <v>371</v>
      </c>
      <c r="D9" s="44" t="s">
        <v>217</v>
      </c>
      <c r="E9" s="31" t="s">
        <v>337</v>
      </c>
      <c r="F9" s="29">
        <v>1</v>
      </c>
      <c r="G9" s="30" t="s">
        <v>194</v>
      </c>
      <c r="H9" s="567">
        <v>36</v>
      </c>
      <c r="I9" s="35">
        <v>20</v>
      </c>
      <c r="J9" s="40">
        <v>20</v>
      </c>
      <c r="K9" s="33" t="s">
        <v>368</v>
      </c>
      <c r="L9" s="636"/>
      <c r="M9" s="636"/>
      <c r="N9" s="636"/>
      <c r="O9" s="637"/>
      <c r="P9" s="332">
        <f>IF(OR(J9="",G9=Paramétrage!$D$9,G9=Paramétrage!$D$12,G9=Paramétrage!$D$15,G9=Paramétrage!$D$18,G9=Paramétrage!$D$22,G9=Paramétrage!$D$25,AND(G9&lt;&gt;Paramétrage!$D$9,K9="Mut+ext")),0,ROUNDUP(I9/J9,0))</f>
        <v>1</v>
      </c>
      <c r="Q9" s="17">
        <f>IF(OR(G9="",K9="Mut+ext"),0,IF(VLOOKUP(G9,Paramétrage!$D$6:$F$27,3,0)=0,0,IF(J9="","saisir capacité",H9*P9*VLOOKUP(G9,Paramétrage!$D$6:$F$27,2,0))))</f>
        <v>36</v>
      </c>
      <c r="R9" s="49"/>
      <c r="S9" s="15">
        <f>IF(OR(G9="",K9="Mut+ext"),0,IF(ISERROR(Q9+R9)=TRUE,Q9,Q9+R9))</f>
        <v>36</v>
      </c>
      <c r="T9" s="496">
        <f>IF(G9="",0,IF(ISERROR(R9+Q9*VLOOKUP(G9,Paramétrage!$D$6:$F$27,3,0))=TRUE,S9,R9+Q9*VLOOKUP(G9,Paramétrage!$D$6:$F$27,3,0)))</f>
        <v>36</v>
      </c>
      <c r="U9" s="500">
        <v>36</v>
      </c>
      <c r="V9" s="501"/>
      <c r="W9" s="501"/>
      <c r="X9" s="501"/>
      <c r="Y9" s="502">
        <f>SUM(U9:X9)</f>
        <v>36</v>
      </c>
      <c r="Z9" s="638"/>
      <c r="AA9" s="638"/>
      <c r="AB9" s="639"/>
      <c r="AC9" s="51">
        <f>VLOOKUP(D9,Paramétrage!$K$6:$L$12,2,0)</f>
        <v>3</v>
      </c>
      <c r="AD9" s="50">
        <f t="shared" ref="AD9:AD48" si="1">IF(B9="",0,IF(E9="",0,IF(SUMIF($B$9:$B$48,B9,$I$9:$I$48)=0,0,IF(E9="Obligatoire",AE9/I9,IF(F9="",AE9/SUMIF($B$9:$B$48,B9,$I$9:$I$48),AE9/(SUMIF($B$9:$B$48,B9,$I$9:$I$48)/F9))))))</f>
        <v>36</v>
      </c>
      <c r="AE9" s="51">
        <f>H9*I9</f>
        <v>720</v>
      </c>
    </row>
    <row r="10" spans="1:31" x14ac:dyDescent="0.25">
      <c r="A10" s="672"/>
      <c r="B10" s="574" t="s">
        <v>338</v>
      </c>
      <c r="C10" s="573" t="s">
        <v>372</v>
      </c>
      <c r="D10" s="31" t="s">
        <v>217</v>
      </c>
      <c r="E10" s="523" t="s">
        <v>337</v>
      </c>
      <c r="F10" s="29">
        <v>1</v>
      </c>
      <c r="G10" s="563" t="s">
        <v>194</v>
      </c>
      <c r="H10" s="36">
        <v>16</v>
      </c>
      <c r="I10" s="35">
        <v>20</v>
      </c>
      <c r="J10" s="40">
        <v>20</v>
      </c>
      <c r="K10" s="33" t="s">
        <v>368</v>
      </c>
      <c r="L10" s="636"/>
      <c r="M10" s="636"/>
      <c r="N10" s="636"/>
      <c r="O10" s="637"/>
      <c r="P10" s="332">
        <f>IF(OR(J10="",G10=Paramétrage!$D$9,G10=Paramétrage!$D$12,G10=Paramétrage!$D$15,G10=Paramétrage!$D$18,G10=Paramétrage!$D$22,G10=Paramétrage!$D$25,AND(G10&lt;&gt;Paramétrage!$D$9,K10="Mut+ext")),0,ROUNDUP(I10/J10,0))</f>
        <v>1</v>
      </c>
      <c r="Q10" s="17">
        <f>IF(OR(G10="",K10="Mut+ext"),0,IF(VLOOKUP(G10,Paramétrage!$D$6:$F$27,3,0)=0,0,IF(J10="","saisir capacité",H10*P10*VLOOKUP(G10,Paramétrage!$D$6:$F$27,2,0))))</f>
        <v>16</v>
      </c>
      <c r="R10" s="32"/>
      <c r="S10" s="15">
        <f t="shared" ref="S10:S71" si="2">IF(OR(G10="",K10="Mut+ext"),0,IF(ISERROR(Q10+R10)=TRUE,Q10,Q10+R10))</f>
        <v>16</v>
      </c>
      <c r="T10" s="497">
        <f>IF(G10="",0,IF(ISERROR(R10+Q10*VLOOKUP(G10,Paramétrage!$D$6:$F$27,3,0))=TRUE,S10,R10+Q10*VLOOKUP(G10,Paramétrage!$D$6:$F$27,3,0)))</f>
        <v>16</v>
      </c>
      <c r="U10" s="495"/>
      <c r="V10" s="346"/>
      <c r="W10" s="346">
        <v>16</v>
      </c>
      <c r="X10" s="346"/>
      <c r="Y10" s="503">
        <f t="shared" ref="Y10:Y28" si="3">SUM(U10:X10)</f>
        <v>16</v>
      </c>
      <c r="Z10" s="636" t="s">
        <v>394</v>
      </c>
      <c r="AA10" s="636"/>
      <c r="AB10" s="637"/>
      <c r="AC10" s="16">
        <f>VLOOKUP(D10,Paramétrage!$K$6:$L$12,2,0)</f>
        <v>3</v>
      </c>
      <c r="AD10" s="27">
        <f t="shared" si="1"/>
        <v>16</v>
      </c>
      <c r="AE10" s="16">
        <f>H10*I10</f>
        <v>320</v>
      </c>
    </row>
    <row r="11" spans="1:31" x14ac:dyDescent="0.25">
      <c r="A11" s="672"/>
      <c r="B11" s="574" t="s">
        <v>339</v>
      </c>
      <c r="C11" s="573" t="s">
        <v>373</v>
      </c>
      <c r="D11" s="31" t="s">
        <v>217</v>
      </c>
      <c r="E11" s="523" t="s">
        <v>337</v>
      </c>
      <c r="F11" s="29">
        <v>1</v>
      </c>
      <c r="G11" s="30" t="s">
        <v>194</v>
      </c>
      <c r="H11" s="36">
        <v>30</v>
      </c>
      <c r="I11" s="35">
        <v>20</v>
      </c>
      <c r="J11" s="40">
        <v>20</v>
      </c>
      <c r="K11" s="33" t="s">
        <v>368</v>
      </c>
      <c r="L11" s="636"/>
      <c r="M11" s="636"/>
      <c r="N11" s="636"/>
      <c r="O11" s="637"/>
      <c r="P11" s="332">
        <f>IF(OR(J11="",G11=Paramétrage!$D$9,G11=Paramétrage!$D$12,G11=Paramétrage!$D$15,G11=Paramétrage!$D$18,G11=Paramétrage!$D$22,G11=Paramétrage!$D$25,AND(G11&lt;&gt;Paramétrage!$D$9,K11="Mut+ext")),0,ROUNDUP(I11/J11,0))</f>
        <v>1</v>
      </c>
      <c r="Q11" s="17">
        <f>IF(OR(G11="",K11="Mut+ext"),0,IF(VLOOKUP(G11,Paramétrage!$D$6:$F$27,3,0)=0,0,IF(J11="","saisir capacité",H11*P11*VLOOKUP(G11,Paramétrage!$D$6:$F$27,2,0))))</f>
        <v>30</v>
      </c>
      <c r="R11" s="32"/>
      <c r="S11" s="15">
        <f t="shared" si="2"/>
        <v>30</v>
      </c>
      <c r="T11" s="497">
        <f>IF(G11="",0,IF(ISERROR(R11+Q11*VLOOKUP(G11,Paramétrage!$D$6:$F$27,3,0))=TRUE,S11,R11+Q11*VLOOKUP(G11,Paramétrage!$D$6:$F$27,3,0)))</f>
        <v>30</v>
      </c>
      <c r="U11" s="495">
        <v>24</v>
      </c>
      <c r="V11" s="346"/>
      <c r="W11" s="346">
        <v>6</v>
      </c>
      <c r="X11" s="346"/>
      <c r="Y11" s="503">
        <f t="shared" si="3"/>
        <v>30</v>
      </c>
      <c r="Z11" s="636"/>
      <c r="AA11" s="636"/>
      <c r="AB11" s="637"/>
      <c r="AC11" s="16">
        <f>VLOOKUP(D11,Paramétrage!$K$6:$L$12,2,0)</f>
        <v>3</v>
      </c>
      <c r="AD11" s="27">
        <f t="shared" si="1"/>
        <v>30</v>
      </c>
      <c r="AE11" s="16">
        <f>H11*I11</f>
        <v>600</v>
      </c>
    </row>
    <row r="12" spans="1:31" x14ac:dyDescent="0.25">
      <c r="A12" s="672"/>
      <c r="B12" s="574" t="s">
        <v>340</v>
      </c>
      <c r="C12" s="573" t="s">
        <v>374</v>
      </c>
      <c r="D12" s="31" t="s">
        <v>217</v>
      </c>
      <c r="E12" s="523" t="s">
        <v>337</v>
      </c>
      <c r="F12" s="29">
        <v>1</v>
      </c>
      <c r="G12" s="563" t="s">
        <v>190</v>
      </c>
      <c r="H12" s="36">
        <v>20</v>
      </c>
      <c r="I12" s="35">
        <v>20</v>
      </c>
      <c r="J12" s="40">
        <v>20</v>
      </c>
      <c r="K12" s="33" t="s">
        <v>368</v>
      </c>
      <c r="L12" s="636"/>
      <c r="M12" s="636"/>
      <c r="N12" s="636"/>
      <c r="O12" s="637"/>
      <c r="P12" s="332">
        <f>IF(OR(J12="",G12=Paramétrage!$D$9,G12=Paramétrage!$D$12,G12=Paramétrage!$D$15,G12=Paramétrage!$D$18,G12=Paramétrage!$D$22,G12=Paramétrage!$D$25,AND(G12&lt;&gt;Paramétrage!$D$9,K12="Mut+ext")),0,ROUNDUP(I12/J12,0))</f>
        <v>1</v>
      </c>
      <c r="Q12" s="17">
        <f>IF(OR(G12="",K12="Mut+ext"),0,IF(VLOOKUP(G12,Paramétrage!$D$6:$F$27,3,0)=0,0,IF(J12="","saisir capacité",H12*P12*VLOOKUP(G12,Paramétrage!$D$6:$F$27,2,0))))</f>
        <v>20</v>
      </c>
      <c r="R12" s="32"/>
      <c r="S12" s="15">
        <f t="shared" si="2"/>
        <v>20</v>
      </c>
      <c r="T12" s="497">
        <f>IF(G12="",0,IF(ISERROR(R12+Q12*VLOOKUP(G12,Paramétrage!$D$6:$F$27,3,0))=TRUE,S12,R12+Q12*VLOOKUP(G12,Paramétrage!$D$6:$F$27,3,0)))</f>
        <v>30</v>
      </c>
      <c r="U12" s="495"/>
      <c r="V12" s="346"/>
      <c r="W12" s="346">
        <v>20</v>
      </c>
      <c r="X12" s="346"/>
      <c r="Y12" s="503">
        <f t="shared" si="3"/>
        <v>20</v>
      </c>
      <c r="Z12" s="636" t="s">
        <v>393</v>
      </c>
      <c r="AA12" s="636"/>
      <c r="AB12" s="637"/>
      <c r="AC12" s="16">
        <f>VLOOKUP(D12,Paramétrage!$K$6:$L$12,2,0)</f>
        <v>3</v>
      </c>
      <c r="AD12" s="27">
        <f t="shared" si="1"/>
        <v>20</v>
      </c>
      <c r="AE12" s="16">
        <f>H12*I12</f>
        <v>400</v>
      </c>
    </row>
    <row r="13" spans="1:31" x14ac:dyDescent="0.25">
      <c r="A13" s="672"/>
      <c r="B13" s="574" t="s">
        <v>341</v>
      </c>
      <c r="C13" s="573" t="s">
        <v>375</v>
      </c>
      <c r="D13" s="31" t="s">
        <v>217</v>
      </c>
      <c r="E13" s="523" t="s">
        <v>337</v>
      </c>
      <c r="F13" s="29">
        <v>1</v>
      </c>
      <c r="G13" s="30" t="s">
        <v>190</v>
      </c>
      <c r="H13" s="36">
        <v>16</v>
      </c>
      <c r="I13" s="35">
        <v>20</v>
      </c>
      <c r="J13" s="40">
        <v>20</v>
      </c>
      <c r="K13" s="33" t="s">
        <v>368</v>
      </c>
      <c r="L13" s="636"/>
      <c r="M13" s="636"/>
      <c r="N13" s="636"/>
      <c r="O13" s="637"/>
      <c r="P13" s="332">
        <f>IF(OR(J13="",G13=Paramétrage!$D$9,G13=Paramétrage!$D$12,G13=Paramétrage!$D$15,G13=Paramétrage!$D$18,G13=Paramétrage!$D$22,G13=Paramétrage!$D$25,AND(G13&lt;&gt;Paramétrage!$D$9,K13="Mut+ext")),0,ROUNDUP(I13/J13,0))</f>
        <v>1</v>
      </c>
      <c r="Q13" s="17">
        <f>IF(OR(G13="",K13="Mut+ext"),0,IF(VLOOKUP(G13,Paramétrage!$D$6:$F$27,3,0)=0,0,IF(J13="","saisir capacité",H13*P13*VLOOKUP(G13,Paramétrage!$D$6:$F$27,2,0))))</f>
        <v>16</v>
      </c>
      <c r="R13" s="32"/>
      <c r="S13" s="15">
        <f t="shared" si="2"/>
        <v>16</v>
      </c>
      <c r="T13" s="497">
        <f>IF(G13="",0,IF(ISERROR(R13+Q13*VLOOKUP(G13,Paramétrage!$D$6:$F$27,3,0))=TRUE,S13,R13+Q13*VLOOKUP(G13,Paramétrage!$D$6:$F$27,3,0)))</f>
        <v>24</v>
      </c>
      <c r="U13" s="495"/>
      <c r="V13" s="346"/>
      <c r="W13" s="346">
        <v>16</v>
      </c>
      <c r="X13" s="346"/>
      <c r="Y13" s="503">
        <f t="shared" si="3"/>
        <v>16</v>
      </c>
      <c r="Z13" s="650" t="s">
        <v>395</v>
      </c>
      <c r="AA13" s="651"/>
      <c r="AB13" s="652"/>
      <c r="AC13" s="16">
        <f>VLOOKUP(D13,Paramétrage!$K$6:$L$12,2,0)</f>
        <v>3</v>
      </c>
      <c r="AD13" s="27">
        <f t="shared" si="1"/>
        <v>16</v>
      </c>
      <c r="AE13" s="16">
        <f t="shared" ref="AE13:AE24" si="4">H13*I13</f>
        <v>320</v>
      </c>
    </row>
    <row r="14" spans="1:31" x14ac:dyDescent="0.25">
      <c r="A14" s="672"/>
      <c r="B14" s="574" t="s">
        <v>342</v>
      </c>
      <c r="C14" s="573" t="s">
        <v>376</v>
      </c>
      <c r="D14" s="31" t="s">
        <v>217</v>
      </c>
      <c r="E14" s="523" t="s">
        <v>337</v>
      </c>
      <c r="F14" s="29">
        <v>1</v>
      </c>
      <c r="G14" s="30" t="s">
        <v>190</v>
      </c>
      <c r="H14" s="36">
        <v>15</v>
      </c>
      <c r="I14" s="35">
        <v>20</v>
      </c>
      <c r="J14" s="40">
        <v>20</v>
      </c>
      <c r="K14" s="33" t="s">
        <v>368</v>
      </c>
      <c r="L14" s="636"/>
      <c r="M14" s="636"/>
      <c r="N14" s="636"/>
      <c r="O14" s="637"/>
      <c r="P14" s="332">
        <f>IF(OR(J14="",G14=Paramétrage!$D$9,G14=Paramétrage!$D$12,G14=Paramétrage!$D$15,G14=Paramétrage!$D$18,G14=Paramétrage!$D$22,G14=Paramétrage!$D$25,AND(G14&lt;&gt;Paramétrage!$D$9,K14="Mut+ext")),0,ROUNDUP(I14/J14,0))</f>
        <v>1</v>
      </c>
      <c r="Q14" s="17">
        <f>IF(OR(G14="",K14="Mut+ext"),0,IF(VLOOKUP(G14,Paramétrage!$D$6:$F$27,3,0)=0,0,IF(J14="","saisir capacité",H14*P14*VLOOKUP(G14,Paramétrage!$D$6:$F$27,2,0))))</f>
        <v>15</v>
      </c>
      <c r="R14" s="32"/>
      <c r="S14" s="15">
        <f t="shared" si="2"/>
        <v>15</v>
      </c>
      <c r="T14" s="497">
        <f>IF(G14="",0,IF(ISERROR(R14+Q14*VLOOKUP(G14,Paramétrage!$D$6:$F$27,3,0))=TRUE,S14,R14+Q14*VLOOKUP(G14,Paramétrage!$D$6:$F$27,3,0)))</f>
        <v>22.5</v>
      </c>
      <c r="U14" s="495">
        <v>10</v>
      </c>
      <c r="V14" s="346"/>
      <c r="W14" s="346">
        <v>5</v>
      </c>
      <c r="X14" s="346"/>
      <c r="Y14" s="503">
        <f t="shared" si="3"/>
        <v>15</v>
      </c>
      <c r="Z14" s="650"/>
      <c r="AA14" s="651"/>
      <c r="AB14" s="652"/>
      <c r="AC14" s="16">
        <f>VLOOKUP(D14,Paramétrage!$K$6:$L$12,2,0)</f>
        <v>3</v>
      </c>
      <c r="AD14" s="27">
        <f t="shared" si="1"/>
        <v>15</v>
      </c>
      <c r="AE14" s="16">
        <f t="shared" si="4"/>
        <v>300</v>
      </c>
    </row>
    <row r="15" spans="1:31" x14ac:dyDescent="0.25">
      <c r="A15" s="672"/>
      <c r="B15" s="572" t="s">
        <v>343</v>
      </c>
      <c r="C15" s="573" t="s">
        <v>377</v>
      </c>
      <c r="D15" s="31" t="s">
        <v>217</v>
      </c>
      <c r="E15" s="523" t="s">
        <v>337</v>
      </c>
      <c r="F15" s="29">
        <v>1</v>
      </c>
      <c r="G15" s="30" t="s">
        <v>194</v>
      </c>
      <c r="H15" s="36">
        <v>21</v>
      </c>
      <c r="I15" s="35">
        <v>20</v>
      </c>
      <c r="J15" s="40">
        <v>20</v>
      </c>
      <c r="K15" s="33" t="s">
        <v>368</v>
      </c>
      <c r="L15" s="636"/>
      <c r="M15" s="636"/>
      <c r="N15" s="636"/>
      <c r="O15" s="637"/>
      <c r="P15" s="332">
        <f>IF(OR(J15="",G15=Paramétrage!$D$9,G15=Paramétrage!$D$12,G15=Paramétrage!$D$15,G15=Paramétrage!$D$18,G15=Paramétrage!$D$22,G15=Paramétrage!$D$25,AND(G15&lt;&gt;Paramétrage!$D$9,K15="Mut+ext")),0,ROUNDUP(I15/J15,0))</f>
        <v>1</v>
      </c>
      <c r="Q15" s="17">
        <f>IF(OR(G15="",K15="Mut+ext"),0,IF(VLOOKUP(G15,Paramétrage!$D$6:$F$27,3,0)=0,0,IF(J15="","saisir capacité",H15*P15*VLOOKUP(G15,Paramétrage!$D$6:$F$27,2,0))))</f>
        <v>21</v>
      </c>
      <c r="R15" s="32"/>
      <c r="S15" s="15">
        <f t="shared" si="2"/>
        <v>21</v>
      </c>
      <c r="T15" s="497">
        <f>IF(G15="",0,IF(ISERROR(R15+Q15*VLOOKUP(G15,Paramétrage!$D$6:$F$27,3,0))=TRUE,S15,R15+Q15*VLOOKUP(G15,Paramétrage!$D$6:$F$27,3,0)))</f>
        <v>21</v>
      </c>
      <c r="U15" s="495"/>
      <c r="V15" s="346"/>
      <c r="W15" s="346">
        <v>21</v>
      </c>
      <c r="X15" s="346"/>
      <c r="Y15" s="503">
        <f t="shared" si="3"/>
        <v>21</v>
      </c>
      <c r="Z15" s="650" t="s">
        <v>396</v>
      </c>
      <c r="AA15" s="651"/>
      <c r="AB15" s="652"/>
      <c r="AC15" s="16">
        <f>VLOOKUP(D15,Paramétrage!$K$6:$L$12,2,0)</f>
        <v>3</v>
      </c>
      <c r="AD15" s="27">
        <f t="shared" si="1"/>
        <v>21</v>
      </c>
      <c r="AE15" s="16">
        <f t="shared" ref="AE15:AE17" si="5">H15*I15</f>
        <v>420</v>
      </c>
    </row>
    <row r="16" spans="1:31" x14ac:dyDescent="0.25">
      <c r="A16" s="672"/>
      <c r="B16" s="574" t="s">
        <v>344</v>
      </c>
      <c r="C16" s="573" t="s">
        <v>378</v>
      </c>
      <c r="D16" s="31" t="s">
        <v>217</v>
      </c>
      <c r="E16" s="523" t="s">
        <v>337</v>
      </c>
      <c r="F16" s="29">
        <v>1</v>
      </c>
      <c r="G16" s="30" t="s">
        <v>194</v>
      </c>
      <c r="H16" s="36">
        <v>25</v>
      </c>
      <c r="I16" s="35">
        <v>20</v>
      </c>
      <c r="J16" s="40">
        <v>20</v>
      </c>
      <c r="K16" s="33" t="s">
        <v>368</v>
      </c>
      <c r="L16" s="636"/>
      <c r="M16" s="636"/>
      <c r="N16" s="636"/>
      <c r="O16" s="637"/>
      <c r="P16" s="332">
        <f>IF(OR(J16="",G16=Paramétrage!$D$9,G16=Paramétrage!$D$12,G16=Paramétrage!$D$15,G16=Paramétrage!$D$18,G16=Paramétrage!$D$22,G16=Paramétrage!$D$25,AND(G16&lt;&gt;Paramétrage!$D$9,K16="Mut+ext")),0,ROUNDUP(I16/J16,0))</f>
        <v>1</v>
      </c>
      <c r="Q16" s="17">
        <f>IF(OR(G16="",K16="Mut+ext"),0,IF(VLOOKUP(G16,Paramétrage!$D$6:$F$27,3,0)=0,0,IF(J16="","saisir capacité",H16*P16*VLOOKUP(G16,Paramétrage!$D$6:$F$27,2,0))))</f>
        <v>25</v>
      </c>
      <c r="R16" s="32"/>
      <c r="S16" s="15">
        <f t="shared" si="2"/>
        <v>25</v>
      </c>
      <c r="T16" s="497">
        <f>IF(G16="",0,IF(ISERROR(R16+Q16*VLOOKUP(G16,Paramétrage!$D$6:$F$27,3,0))=TRUE,S16,R16+Q16*VLOOKUP(G16,Paramétrage!$D$6:$F$27,3,0)))</f>
        <v>25</v>
      </c>
      <c r="U16" s="495"/>
      <c r="V16" s="346"/>
      <c r="W16" s="346">
        <v>25</v>
      </c>
      <c r="X16" s="346"/>
      <c r="Y16" s="503">
        <f t="shared" si="3"/>
        <v>25</v>
      </c>
      <c r="Z16" s="650" t="s">
        <v>397</v>
      </c>
      <c r="AA16" s="651"/>
      <c r="AB16" s="652"/>
      <c r="AC16" s="16">
        <f>VLOOKUP(D16,Paramétrage!$K$6:$L$12,2,0)</f>
        <v>3</v>
      </c>
      <c r="AD16" s="27">
        <f t="shared" si="1"/>
        <v>25</v>
      </c>
      <c r="AE16" s="16">
        <f t="shared" si="5"/>
        <v>500</v>
      </c>
    </row>
    <row r="17" spans="1:31" x14ac:dyDescent="0.25">
      <c r="A17" s="672"/>
      <c r="B17" s="574" t="s">
        <v>345</v>
      </c>
      <c r="C17" s="573" t="s">
        <v>379</v>
      </c>
      <c r="D17" s="31" t="s">
        <v>217</v>
      </c>
      <c r="E17" s="523" t="s">
        <v>337</v>
      </c>
      <c r="F17" s="29">
        <v>1</v>
      </c>
      <c r="G17" s="30" t="s">
        <v>190</v>
      </c>
      <c r="H17" s="36">
        <v>6</v>
      </c>
      <c r="I17" s="35">
        <v>20</v>
      </c>
      <c r="J17" s="40">
        <v>20</v>
      </c>
      <c r="K17" s="33" t="s">
        <v>368</v>
      </c>
      <c r="L17" s="636"/>
      <c r="M17" s="636"/>
      <c r="N17" s="636"/>
      <c r="O17" s="637"/>
      <c r="P17" s="332">
        <f>IF(OR(J17="",G17=Paramétrage!$D$9,G17=Paramétrage!$D$12,G17=Paramétrage!$D$15,G17=Paramétrage!$D$18,G17=Paramétrage!$D$22,G17=Paramétrage!$D$25,AND(G17&lt;&gt;Paramétrage!$D$9,K17="Mut+ext")),0,ROUNDUP(I17/J17,0))</f>
        <v>1</v>
      </c>
      <c r="Q17" s="17">
        <f>IF(OR(G17="",K17="Mut+ext"),0,IF(VLOOKUP(G17,Paramétrage!$D$6:$F$27,3,0)=0,0,IF(J17="","saisir capacité",H17*P17*VLOOKUP(G17,Paramétrage!$D$6:$F$27,2,0))))</f>
        <v>6</v>
      </c>
      <c r="R17" s="32"/>
      <c r="S17" s="15">
        <f>IF(OR(G17="",K17="Mut+ext"),0,IF(ISERROR(Q17+R17)=TRUE,Q17,Q17+R17))</f>
        <v>6</v>
      </c>
      <c r="T17" s="497">
        <f>IF(G17="",0,IF(ISERROR(R17+Q17*VLOOKUP(G17,Paramétrage!$D$6:$F$27,3,0))=TRUE,S17,R17+Q17*VLOOKUP(G17,Paramétrage!$D$6:$F$27,3,0)))</f>
        <v>9</v>
      </c>
      <c r="U17" s="495">
        <v>6</v>
      </c>
      <c r="V17" s="346"/>
      <c r="W17" s="346"/>
      <c r="X17" s="346"/>
      <c r="Y17" s="503">
        <f t="shared" si="3"/>
        <v>6</v>
      </c>
      <c r="Z17" s="636"/>
      <c r="AA17" s="636"/>
      <c r="AB17" s="637"/>
      <c r="AC17" s="16">
        <f>VLOOKUP(D17,Paramétrage!$K$6:$L$12,2,0)</f>
        <v>3</v>
      </c>
      <c r="AD17" s="27">
        <f t="shared" si="1"/>
        <v>6</v>
      </c>
      <c r="AE17" s="16">
        <f t="shared" si="5"/>
        <v>120</v>
      </c>
    </row>
    <row r="18" spans="1:31" hidden="1" x14ac:dyDescent="0.25">
      <c r="A18" s="672"/>
      <c r="B18" s="574"/>
      <c r="C18" s="573" t="s">
        <v>380</v>
      </c>
      <c r="D18" s="31"/>
      <c r="E18" s="523"/>
      <c r="F18" s="29">
        <v>1</v>
      </c>
      <c r="G18" s="30"/>
      <c r="H18" s="36"/>
      <c r="I18" s="35"/>
      <c r="J18" s="40"/>
      <c r="K18" s="33"/>
      <c r="L18" s="636"/>
      <c r="M18" s="636"/>
      <c r="N18" s="636"/>
      <c r="O18" s="637"/>
      <c r="P18" s="332">
        <f>IF(OR(J18="",G18=Paramétrage!$D$9,G18=Paramétrage!$D$12,G18=Paramétrage!$D$15,G18=Paramétrage!$D$18,G18=Paramétrage!$D$22,G18=Paramétrage!$D$25,AND(G18&lt;&gt;Paramétrage!$D$9,K18="Mut+ext")),0,ROUNDUP(I18/J18,0))</f>
        <v>0</v>
      </c>
      <c r="Q18" s="17">
        <f>IF(OR(G18="",K18="Mut+ext"),0,IF(VLOOKUP(G18,Paramétrage!$D$6:$F$27,3,0)=0,0,IF(J18="","saisir capacité",H18*P18*VLOOKUP(G18,Paramétrage!$D$6:$F$27,2,0))))</f>
        <v>0</v>
      </c>
      <c r="R18" s="32"/>
      <c r="S18" s="15">
        <f>IF(OR(G18="",K18="Mut+ext"),0,IF(ISERROR(Q18+R18)=TRUE,Q18,Q18+R18))</f>
        <v>0</v>
      </c>
      <c r="T18" s="497">
        <f>IF(G18="",0,IF(ISERROR(R18+Q18*VLOOKUP(G18,Paramétrage!$D$6:$F$27,3,0))=TRUE,S18,R18+Q18*VLOOKUP(G18,Paramétrage!$D$6:$F$27,3,0)))</f>
        <v>0</v>
      </c>
      <c r="U18" s="495"/>
      <c r="V18" s="346"/>
      <c r="W18" s="346"/>
      <c r="X18" s="346"/>
      <c r="Y18" s="503">
        <f t="shared" si="3"/>
        <v>0</v>
      </c>
      <c r="Z18" s="636"/>
      <c r="AA18" s="636"/>
      <c r="AB18" s="637"/>
      <c r="AC18" s="16" t="e">
        <f>VLOOKUP(D18,Paramétrage!$K$6:$L$12,2,0)</f>
        <v>#N/A</v>
      </c>
      <c r="AD18" s="27">
        <f t="shared" si="1"/>
        <v>0</v>
      </c>
      <c r="AE18" s="16">
        <f t="shared" si="4"/>
        <v>0</v>
      </c>
    </row>
    <row r="19" spans="1:31" x14ac:dyDescent="0.25">
      <c r="A19" s="672"/>
      <c r="B19" s="574" t="s">
        <v>346</v>
      </c>
      <c r="C19" s="575" t="s">
        <v>380</v>
      </c>
      <c r="D19" s="31" t="s">
        <v>217</v>
      </c>
      <c r="E19" s="523" t="s">
        <v>337</v>
      </c>
      <c r="F19" s="29">
        <v>1</v>
      </c>
      <c r="G19" s="30" t="s">
        <v>194</v>
      </c>
      <c r="H19" s="36">
        <v>6</v>
      </c>
      <c r="I19" s="35">
        <v>20</v>
      </c>
      <c r="J19" s="40">
        <v>20</v>
      </c>
      <c r="K19" s="33" t="s">
        <v>368</v>
      </c>
      <c r="L19" s="636"/>
      <c r="M19" s="636"/>
      <c r="N19" s="636"/>
      <c r="O19" s="637"/>
      <c r="P19" s="332">
        <f>IF(OR(J19="",G19=Paramétrage!$D$9,G19=Paramétrage!$D$12,G19=Paramétrage!$D$15,G19=Paramétrage!$D$18,G19=Paramétrage!$D$22,G19=Paramétrage!$D$25,AND(G19&lt;&gt;Paramétrage!$D$9,K19="Mut+ext")),0,ROUNDUP(I19/J19,0))</f>
        <v>1</v>
      </c>
      <c r="Q19" s="17">
        <f>IF(OR(G19="",K19="Mut+ext"),0,IF(VLOOKUP(G19,Paramétrage!$D$6:$F$27,3,0)=0,0,IF(J19="","saisir capacité",H19*P19*VLOOKUP(G19,Paramétrage!$D$6:$F$27,2,0))))</f>
        <v>6</v>
      </c>
      <c r="R19" s="32"/>
      <c r="S19" s="15">
        <f>IF(OR(G19="",K19="Mut+ext"),0,IF(ISERROR(Q19+R19)=TRUE,Q19,Q19+R19))</f>
        <v>6</v>
      </c>
      <c r="T19" s="497">
        <f>IF(G19="",0,IF(ISERROR(R19+Q19*VLOOKUP(G19,Paramétrage!$D$6:$F$27,3,0))=TRUE,S19,R19+Q19*VLOOKUP(G19,Paramétrage!$D$6:$F$27,3,0)))</f>
        <v>6</v>
      </c>
      <c r="U19" s="495"/>
      <c r="V19" s="346"/>
      <c r="W19" s="346">
        <v>6</v>
      </c>
      <c r="X19" s="346"/>
      <c r="Y19" s="503">
        <f t="shared" si="3"/>
        <v>6</v>
      </c>
      <c r="Z19" s="636"/>
      <c r="AA19" s="636"/>
      <c r="AB19" s="637"/>
      <c r="AC19" s="16">
        <f>VLOOKUP(D19,Paramétrage!$K$6:$L$12,2,0)</f>
        <v>3</v>
      </c>
      <c r="AD19" s="27">
        <f t="shared" si="1"/>
        <v>6</v>
      </c>
      <c r="AE19" s="16">
        <f t="shared" si="4"/>
        <v>120</v>
      </c>
    </row>
    <row r="20" spans="1:31" x14ac:dyDescent="0.25">
      <c r="A20" s="672"/>
      <c r="B20" s="574" t="s">
        <v>347</v>
      </c>
      <c r="C20" s="576" t="s">
        <v>381</v>
      </c>
      <c r="D20" s="31" t="s">
        <v>217</v>
      </c>
      <c r="E20" s="44" t="s">
        <v>337</v>
      </c>
      <c r="F20" s="29">
        <v>1</v>
      </c>
      <c r="G20" s="30" t="s">
        <v>190</v>
      </c>
      <c r="H20" s="567">
        <v>18</v>
      </c>
      <c r="I20" s="35">
        <v>20</v>
      </c>
      <c r="J20" s="40">
        <v>20</v>
      </c>
      <c r="K20" s="33" t="s">
        <v>368</v>
      </c>
      <c r="L20" s="636"/>
      <c r="M20" s="636"/>
      <c r="N20" s="636"/>
      <c r="O20" s="637"/>
      <c r="P20" s="332">
        <f>IF(OR(J20="",G20=Paramétrage!$D$9,G20=Paramétrage!$D$12,G20=Paramétrage!$D$15,G20=Paramétrage!$D$18,G20=Paramétrage!$D$22,G20=Paramétrage!$D$25,AND(G20&lt;&gt;Paramétrage!$D$9,K20="Mut+ext")),0,ROUNDUP(I20/J20,0))</f>
        <v>1</v>
      </c>
      <c r="Q20" s="17">
        <f>IF(OR(G20="",K20="Mut+ext"),0,IF(VLOOKUP(G20,Paramétrage!$D$6:$F$27,3,0)=0,0,IF(J20="","saisir capacité",H20*P20*VLOOKUP(G20,Paramétrage!$D$6:$F$27,2,0))))</f>
        <v>18</v>
      </c>
      <c r="R20" s="32"/>
      <c r="S20" s="15">
        <f t="shared" si="2"/>
        <v>18</v>
      </c>
      <c r="T20" s="497">
        <f>IF(G20="",0,IF(ISERROR(R20+Q20*VLOOKUP(G20,Paramétrage!$D$6:$F$27,3,0))=TRUE,S20,R20+Q20*VLOOKUP(G20,Paramétrage!$D$6:$F$27,3,0)))</f>
        <v>27</v>
      </c>
      <c r="U20" s="495">
        <v>18</v>
      </c>
      <c r="V20" s="346"/>
      <c r="W20" s="346"/>
      <c r="X20" s="346"/>
      <c r="Y20" s="503">
        <f t="shared" si="3"/>
        <v>18</v>
      </c>
      <c r="Z20" s="636"/>
      <c r="AA20" s="636"/>
      <c r="AB20" s="637"/>
      <c r="AC20" s="16">
        <f>VLOOKUP(D20,Paramétrage!$K$6:$L$12,2,0)</f>
        <v>3</v>
      </c>
      <c r="AD20" s="27">
        <f t="shared" si="1"/>
        <v>18</v>
      </c>
      <c r="AE20" s="16">
        <f t="shared" si="4"/>
        <v>360</v>
      </c>
    </row>
    <row r="21" spans="1:31" x14ac:dyDescent="0.25">
      <c r="A21" s="672"/>
      <c r="B21" s="577" t="s">
        <v>348</v>
      </c>
      <c r="C21" s="573" t="s">
        <v>382</v>
      </c>
      <c r="D21" s="31" t="s">
        <v>217</v>
      </c>
      <c r="E21" s="44" t="s">
        <v>337</v>
      </c>
      <c r="F21" s="29">
        <v>1</v>
      </c>
      <c r="G21" s="30" t="s">
        <v>194</v>
      </c>
      <c r="H21" s="36">
        <v>18</v>
      </c>
      <c r="I21" s="35">
        <v>20</v>
      </c>
      <c r="J21" s="40">
        <v>20</v>
      </c>
      <c r="K21" s="33" t="s">
        <v>368</v>
      </c>
      <c r="L21" s="636"/>
      <c r="M21" s="636"/>
      <c r="N21" s="636"/>
      <c r="O21" s="637"/>
      <c r="P21" s="332">
        <f>IF(OR(J21="",G21=Paramétrage!$D$9,G21=Paramétrage!$D$12,G21=Paramétrage!$D$15,G21=Paramétrage!$D$18,G21=Paramétrage!$D$22,G21=Paramétrage!$D$25,AND(G21&lt;&gt;Paramétrage!$D$9,K21="Mut+ext")),0,ROUNDUP(I21/J21,0))</f>
        <v>1</v>
      </c>
      <c r="Q21" s="17">
        <f>IF(OR(G21="",K21="Mut+ext"),0,IF(VLOOKUP(G21,Paramétrage!$D$6:$F$27,3,0)=0,0,IF(J21="","saisir capacité",H21*P21*VLOOKUP(G21,Paramétrage!$D$6:$F$27,2,0))))</f>
        <v>18</v>
      </c>
      <c r="R21" s="32"/>
      <c r="S21" s="15">
        <f>IF(OR(G21="",K21="Mut+ext"),0,IF(ISERROR(Q21+R21)=TRUE,Q21,Q21+R21))</f>
        <v>18</v>
      </c>
      <c r="T21" s="497">
        <f>IF(G21="",0,IF(ISERROR(R21+Q21*VLOOKUP(G21,Paramétrage!$D$6:$F$27,3,0))=TRUE,S21,R21+Q21*VLOOKUP(G21,Paramétrage!$D$6:$F$27,3,0)))</f>
        <v>18</v>
      </c>
      <c r="U21" s="495"/>
      <c r="V21" s="346"/>
      <c r="W21" s="346">
        <v>18</v>
      </c>
      <c r="X21" s="346"/>
      <c r="Y21" s="503">
        <f t="shared" si="3"/>
        <v>18</v>
      </c>
      <c r="Z21" s="636"/>
      <c r="AA21" s="636"/>
      <c r="AB21" s="637"/>
      <c r="AC21" s="16">
        <f>VLOOKUP(D21,Paramétrage!$K$6:$L$12,2,0)</f>
        <v>3</v>
      </c>
      <c r="AD21" s="27">
        <f t="shared" si="1"/>
        <v>18</v>
      </c>
      <c r="AE21" s="16">
        <f t="shared" si="4"/>
        <v>360</v>
      </c>
    </row>
    <row r="22" spans="1:31" x14ac:dyDescent="0.25">
      <c r="A22" s="672"/>
      <c r="B22" s="577" t="s">
        <v>349</v>
      </c>
      <c r="C22" s="573" t="s">
        <v>383</v>
      </c>
      <c r="D22" s="31" t="s">
        <v>217</v>
      </c>
      <c r="E22" s="44" t="s">
        <v>337</v>
      </c>
      <c r="F22" s="29">
        <v>1</v>
      </c>
      <c r="G22" s="30" t="s">
        <v>194</v>
      </c>
      <c r="H22" s="36">
        <v>12</v>
      </c>
      <c r="I22" s="35">
        <v>20</v>
      </c>
      <c r="J22" s="40">
        <v>20</v>
      </c>
      <c r="K22" s="33" t="s">
        <v>368</v>
      </c>
      <c r="L22" s="636"/>
      <c r="M22" s="636"/>
      <c r="N22" s="636"/>
      <c r="O22" s="637"/>
      <c r="P22" s="332">
        <f>IF(OR(J22="",G22=Paramétrage!$D$9,G22=Paramétrage!$D$12,G22=Paramétrage!$D$15,G22=Paramétrage!$D$18,G22=Paramétrage!$D$22,G22=Paramétrage!$D$25,AND(G22&lt;&gt;Paramétrage!$D$9,K22="Mut+ext")),0,ROUNDUP(I22/J22,0))</f>
        <v>1</v>
      </c>
      <c r="Q22" s="17">
        <f>IF(OR(G22="",K22="Mut+ext"),0,IF(VLOOKUP(G22,Paramétrage!$D$6:$F$27,3,0)=0,0,IF(J22="","saisir capacité",H22*P22*VLOOKUP(G22,Paramétrage!$D$6:$F$27,2,0))))</f>
        <v>12</v>
      </c>
      <c r="R22" s="366"/>
      <c r="S22" s="15">
        <f>IF(OR(G22="",K22="Mut+ext"),0,IF(ISERROR(Q22+R22)=TRUE,Q22,Q22+R22))</f>
        <v>12</v>
      </c>
      <c r="T22" s="497">
        <f>IF(G22="",0,IF(ISERROR(R22+Q22*VLOOKUP(G22,Paramétrage!$D$6:$F$27,3,0))=TRUE,S22,R22+Q22*VLOOKUP(G22,Paramétrage!$D$6:$F$27,3,0)))</f>
        <v>12</v>
      </c>
      <c r="U22" s="495"/>
      <c r="V22" s="346"/>
      <c r="W22" s="346">
        <v>12</v>
      </c>
      <c r="X22" s="346"/>
      <c r="Y22" s="503">
        <f t="shared" si="3"/>
        <v>12</v>
      </c>
      <c r="Z22" s="636"/>
      <c r="AA22" s="636"/>
      <c r="AB22" s="637"/>
      <c r="AC22" s="16">
        <f>VLOOKUP(D22,Paramétrage!$K$6:$L$12,2,0)</f>
        <v>3</v>
      </c>
      <c r="AD22" s="27">
        <f t="shared" si="1"/>
        <v>12</v>
      </c>
      <c r="AE22" s="16">
        <f t="shared" si="4"/>
        <v>240</v>
      </c>
    </row>
    <row r="23" spans="1:31" x14ac:dyDescent="0.25">
      <c r="A23" s="672"/>
      <c r="B23" s="578" t="s">
        <v>351</v>
      </c>
      <c r="C23" s="579" t="s">
        <v>384</v>
      </c>
      <c r="D23" s="31" t="s">
        <v>217</v>
      </c>
      <c r="E23" s="44" t="s">
        <v>337</v>
      </c>
      <c r="F23" s="29">
        <v>1</v>
      </c>
      <c r="G23" s="30" t="s">
        <v>194</v>
      </c>
      <c r="H23" s="36">
        <v>20</v>
      </c>
      <c r="I23" s="35">
        <v>20</v>
      </c>
      <c r="J23" s="40">
        <v>20</v>
      </c>
      <c r="K23" s="33" t="s">
        <v>368</v>
      </c>
      <c r="L23" s="636"/>
      <c r="M23" s="636"/>
      <c r="N23" s="636"/>
      <c r="O23" s="637"/>
      <c r="P23" s="332">
        <f>IF(OR(J23="",G23=Paramétrage!$D$9,G23=Paramétrage!$D$12,G23=Paramétrage!$D$15,G23=Paramétrage!$D$18,G23=Paramétrage!$D$22,G23=Paramétrage!$D$25,AND(G23&lt;&gt;Paramétrage!$D$9,K23="Mut+ext")),0,ROUNDUP(I23/J23,0))</f>
        <v>1</v>
      </c>
      <c r="Q23" s="17">
        <f>IF(OR(G23="",K23="Mut+ext"),0,IF(VLOOKUP(G23,Paramétrage!$D$6:$F$27,3,0)=0,0,IF(J23="","saisir capacité",H23*P23*VLOOKUP(G23,Paramétrage!$D$6:$F$27,2,0))))</f>
        <v>20</v>
      </c>
      <c r="R23" s="32"/>
      <c r="S23" s="15">
        <f>IF(OR(G23="",K23="Mut+ext"),0,IF(ISERROR(Q23+R23)=TRUE,Q23,Q23+R23))</f>
        <v>20</v>
      </c>
      <c r="T23" s="497">
        <f>IF(G23="",0,IF(ISERROR(R23+Q23*VLOOKUP(G23,Paramétrage!$D$6:$F$27,3,0))=TRUE,S23,R23+Q23*VLOOKUP(G23,Paramétrage!$D$6:$F$27,3,0)))</f>
        <v>20</v>
      </c>
      <c r="U23" s="495"/>
      <c r="V23" s="346"/>
      <c r="W23" s="346">
        <v>20</v>
      </c>
      <c r="X23" s="346"/>
      <c r="Y23" s="503">
        <f t="shared" si="3"/>
        <v>20</v>
      </c>
      <c r="Z23" s="650" t="s">
        <v>394</v>
      </c>
      <c r="AA23" s="651"/>
      <c r="AB23" s="652"/>
      <c r="AC23" s="16">
        <f>VLOOKUP(D23,Paramétrage!$K$6:$L$12,2,0)</f>
        <v>3</v>
      </c>
      <c r="AD23" s="27">
        <f t="shared" si="1"/>
        <v>20</v>
      </c>
      <c r="AE23" s="16">
        <f t="shared" si="4"/>
        <v>400</v>
      </c>
    </row>
    <row r="24" spans="1:31" x14ac:dyDescent="0.25">
      <c r="A24" s="672"/>
      <c r="B24" s="580" t="s">
        <v>352</v>
      </c>
      <c r="C24" s="579" t="s">
        <v>385</v>
      </c>
      <c r="D24" s="31" t="s">
        <v>217</v>
      </c>
      <c r="E24" s="44" t="s">
        <v>337</v>
      </c>
      <c r="F24" s="29">
        <v>1</v>
      </c>
      <c r="G24" s="30" t="s">
        <v>194</v>
      </c>
      <c r="H24" s="36">
        <v>15</v>
      </c>
      <c r="I24" s="565">
        <v>20</v>
      </c>
      <c r="J24" s="40">
        <v>20</v>
      </c>
      <c r="K24" s="33" t="s">
        <v>368</v>
      </c>
      <c r="L24" s="636"/>
      <c r="M24" s="636"/>
      <c r="N24" s="636"/>
      <c r="O24" s="637"/>
      <c r="P24" s="332">
        <f>IF(OR(J24="",G24=Paramétrage!$D$9,G24=Paramétrage!$D$12,G24=Paramétrage!$D$15,G24=Paramétrage!$D$18,G24=Paramétrage!$D$22,G24=Paramétrage!$D$25,AND(G24&lt;&gt;Paramétrage!$D$9,K24="Mut+ext")),0,ROUNDUP(I24/J24,0))</f>
        <v>1</v>
      </c>
      <c r="Q24" s="17">
        <f>IF(OR(G24="",K24="Mut+ext"),0,IF(VLOOKUP(G24,Paramétrage!$D$6:$F$27,3,0)=0,0,IF(J24="","saisir capacité",H24*P24*VLOOKUP(G24,Paramétrage!$D$6:$F$27,2,0))))</f>
        <v>15</v>
      </c>
      <c r="R24" s="32"/>
      <c r="S24" s="15">
        <f t="shared" si="2"/>
        <v>15</v>
      </c>
      <c r="T24" s="497">
        <f>IF(G24="",0,IF(ISERROR(R24+Q24*VLOOKUP(G24,Paramétrage!$D$6:$F$27,3,0))=TRUE,S24,R24+Q24*VLOOKUP(G24,Paramétrage!$D$6:$F$27,3,0)))</f>
        <v>15</v>
      </c>
      <c r="U24" s="495"/>
      <c r="V24" s="346"/>
      <c r="W24" s="346">
        <v>15</v>
      </c>
      <c r="X24" s="346"/>
      <c r="Y24" s="503">
        <f t="shared" si="3"/>
        <v>15</v>
      </c>
      <c r="Z24" s="636"/>
      <c r="AA24" s="636"/>
      <c r="AB24" s="637"/>
      <c r="AC24" s="16">
        <f>VLOOKUP(D24,Paramétrage!$K$6:$L$12,2,0)</f>
        <v>3</v>
      </c>
      <c r="AD24" s="27">
        <f t="shared" si="1"/>
        <v>15</v>
      </c>
      <c r="AE24" s="16">
        <f t="shared" si="4"/>
        <v>300</v>
      </c>
    </row>
    <row r="25" spans="1:31" x14ac:dyDescent="0.25">
      <c r="A25" s="672"/>
      <c r="B25" s="580" t="s">
        <v>353</v>
      </c>
      <c r="C25" s="579" t="s">
        <v>386</v>
      </c>
      <c r="D25" s="31" t="s">
        <v>217</v>
      </c>
      <c r="E25" s="44" t="s">
        <v>337</v>
      </c>
      <c r="F25" s="29">
        <v>1</v>
      </c>
      <c r="G25" s="30" t="s">
        <v>194</v>
      </c>
      <c r="H25" s="36">
        <v>3</v>
      </c>
      <c r="I25" s="35">
        <v>20</v>
      </c>
      <c r="J25" s="40">
        <v>20</v>
      </c>
      <c r="K25" s="33" t="s">
        <v>368</v>
      </c>
      <c r="L25" s="636"/>
      <c r="M25" s="636"/>
      <c r="N25" s="636"/>
      <c r="O25" s="637"/>
      <c r="P25" s="332">
        <f>IF(OR(J25="",G25=Paramétrage!$D$9,G25=Paramétrage!$D$12,G25=Paramétrage!$D$15,G25=Paramétrage!$D$18,G25=Paramétrage!$D$22,G25=Paramétrage!$D$25,AND(G25&lt;&gt;Paramétrage!$D$9,K25="Mut+ext")),0,ROUNDUP(I25/J25,0))</f>
        <v>1</v>
      </c>
      <c r="Q25" s="17">
        <f>IF(OR(G25="",K25="Mut+ext"),0,IF(VLOOKUP(G25,Paramétrage!$D$6:$F$27,3,0)=0,0,IF(J25="","saisir capacité",H25*P25*VLOOKUP(G25,Paramétrage!$D$6:$F$27,2,0))))</f>
        <v>3</v>
      </c>
      <c r="R25" s="32"/>
      <c r="S25" s="15">
        <f t="shared" si="2"/>
        <v>3</v>
      </c>
      <c r="T25" s="497">
        <f>IF(G25="",0,IF(ISERROR(R25+Q25*VLOOKUP(G25,Paramétrage!$D$6:$F$27,3,0))=TRUE,S25,R25+Q25*VLOOKUP(G25,Paramétrage!$D$6:$F$27,3,0)))</f>
        <v>3</v>
      </c>
      <c r="U25" s="495"/>
      <c r="V25" s="346"/>
      <c r="W25" s="346">
        <v>3</v>
      </c>
      <c r="X25" s="346"/>
      <c r="Y25" s="503">
        <f t="shared" si="3"/>
        <v>3</v>
      </c>
      <c r="Z25" s="650" t="s">
        <v>398</v>
      </c>
      <c r="AA25" s="651"/>
      <c r="AB25" s="652"/>
      <c r="AC25" s="16">
        <f>VLOOKUP(D25,Paramétrage!$K$6:$L$12,2,0)</f>
        <v>3</v>
      </c>
      <c r="AD25" s="27">
        <f t="shared" si="1"/>
        <v>3</v>
      </c>
      <c r="AE25" s="16">
        <f t="shared" ref="AE25:AE30" si="6">H25*I25</f>
        <v>60</v>
      </c>
    </row>
    <row r="26" spans="1:31" ht="16.2" thickBot="1" x14ac:dyDescent="0.3">
      <c r="A26" s="672"/>
      <c r="B26" s="578" t="s">
        <v>354</v>
      </c>
      <c r="C26" s="579" t="s">
        <v>387</v>
      </c>
      <c r="D26" s="31" t="s">
        <v>217</v>
      </c>
      <c r="E26" s="44" t="s">
        <v>337</v>
      </c>
      <c r="F26" s="29">
        <v>1</v>
      </c>
      <c r="G26" s="30" t="s">
        <v>194</v>
      </c>
      <c r="H26" s="36">
        <v>15</v>
      </c>
      <c r="I26" s="35">
        <v>20</v>
      </c>
      <c r="J26" s="40">
        <v>20</v>
      </c>
      <c r="K26" s="33" t="s">
        <v>368</v>
      </c>
      <c r="L26" s="636"/>
      <c r="M26" s="636"/>
      <c r="N26" s="636"/>
      <c r="O26" s="637"/>
      <c r="P26" s="332">
        <f>IF(OR(J26="",G26=Paramétrage!$D$9,G26=Paramétrage!$D$12,G26=Paramétrage!$D$15,G26=Paramétrage!$D$18,G26=Paramétrage!$D$22,G26=Paramétrage!$D$25,AND(G26&lt;&gt;Paramétrage!$D$9,K26="Mut+ext")),0,ROUNDUP(I26/J26,0))</f>
        <v>1</v>
      </c>
      <c r="Q26" s="17">
        <f>IF(OR(G26="",K26="Mut+ext"),0,IF(VLOOKUP(G26,Paramétrage!$D$6:$F$27,3,0)=0,0,IF(J26="","saisir capacité",H26*P26*VLOOKUP(G26,Paramétrage!$D$6:$F$27,2,0))))</f>
        <v>15</v>
      </c>
      <c r="R26" s="32"/>
      <c r="S26" s="15">
        <f t="shared" si="2"/>
        <v>15</v>
      </c>
      <c r="T26" s="497">
        <f>IF(G26="",0,IF(ISERROR(R26+Q26*VLOOKUP(G26,Paramétrage!$D$6:$F$27,3,0))=TRUE,S26,R26+Q26*VLOOKUP(G26,Paramétrage!$D$6:$F$27,3,0)))</f>
        <v>15</v>
      </c>
      <c r="U26" s="495"/>
      <c r="V26" s="346"/>
      <c r="W26" s="346">
        <v>15</v>
      </c>
      <c r="X26" s="346"/>
      <c r="Y26" s="503">
        <f t="shared" si="3"/>
        <v>15</v>
      </c>
      <c r="Z26" s="636"/>
      <c r="AA26" s="636"/>
      <c r="AB26" s="637"/>
      <c r="AC26" s="16">
        <f>VLOOKUP(D26,Paramétrage!$K$6:$L$12,2,0)</f>
        <v>3</v>
      </c>
      <c r="AD26" s="27">
        <f t="shared" si="1"/>
        <v>15</v>
      </c>
      <c r="AE26" s="16">
        <f t="shared" si="6"/>
        <v>300</v>
      </c>
    </row>
    <row r="27" spans="1:31" x14ac:dyDescent="0.25">
      <c r="A27" s="672"/>
      <c r="B27" s="581" t="s">
        <v>355</v>
      </c>
      <c r="C27" s="582" t="s">
        <v>388</v>
      </c>
      <c r="D27" s="31" t="s">
        <v>217</v>
      </c>
      <c r="E27" s="44" t="s">
        <v>337</v>
      </c>
      <c r="F27" s="29">
        <v>1</v>
      </c>
      <c r="G27" s="30" t="s">
        <v>194</v>
      </c>
      <c r="H27" s="36">
        <v>15</v>
      </c>
      <c r="I27" s="35">
        <v>20</v>
      </c>
      <c r="J27" s="40">
        <v>20</v>
      </c>
      <c r="K27" s="33" t="s">
        <v>368</v>
      </c>
      <c r="L27" s="636"/>
      <c r="M27" s="636"/>
      <c r="N27" s="636"/>
      <c r="O27" s="637"/>
      <c r="P27" s="332">
        <f>IF(OR(J27="",G27=Paramétrage!$D$9,G27=Paramétrage!$D$12,G27=Paramétrage!$D$15,G27=Paramétrage!$D$18,G27=Paramétrage!$D$22,G27=Paramétrage!$D$25,AND(G27&lt;&gt;Paramétrage!$D$9,K27="Mut+ext")),0,ROUNDUP(I27/J27,0))</f>
        <v>1</v>
      </c>
      <c r="Q27" s="17">
        <f>IF(OR(G27="",K27="Mut+ext"),0,IF(VLOOKUP(G27,Paramétrage!$D$6:$F$27,3,0)=0,0,IF(J27="","saisir capacité",H27*P27*VLOOKUP(G27,Paramétrage!$D$6:$F$27,2,0))))</f>
        <v>15</v>
      </c>
      <c r="R27" s="32"/>
      <c r="S27" s="15">
        <f t="shared" si="2"/>
        <v>15</v>
      </c>
      <c r="T27" s="497">
        <f>IF(G27="",0,IF(ISERROR(R27+Q27*VLOOKUP(G27,Paramétrage!$D$6:$F$27,3,0))=TRUE,S27,R27+Q27*VLOOKUP(G27,Paramétrage!$D$6:$F$27,3,0)))</f>
        <v>15</v>
      </c>
      <c r="U27" s="495">
        <v>15</v>
      </c>
      <c r="V27" s="346"/>
      <c r="W27" s="346"/>
      <c r="X27" s="346"/>
      <c r="Y27" s="503">
        <f t="shared" si="3"/>
        <v>15</v>
      </c>
      <c r="Z27" s="636"/>
      <c r="AA27" s="636"/>
      <c r="AB27" s="637"/>
      <c r="AC27" s="16">
        <f>VLOOKUP(D27,Paramétrage!$K$6:$L$12,2,0)</f>
        <v>3</v>
      </c>
      <c r="AD27" s="27">
        <f t="shared" si="1"/>
        <v>15</v>
      </c>
      <c r="AE27" s="16">
        <f t="shared" si="6"/>
        <v>300</v>
      </c>
    </row>
    <row r="28" spans="1:31" ht="16.2" thickBot="1" x14ac:dyDescent="0.3">
      <c r="A28" s="672"/>
      <c r="B28" s="583" t="s">
        <v>402</v>
      </c>
      <c r="C28" s="584" t="s">
        <v>392</v>
      </c>
      <c r="D28" s="31" t="s">
        <v>205</v>
      </c>
      <c r="E28" s="568" t="s">
        <v>337</v>
      </c>
      <c r="F28" s="569">
        <v>1</v>
      </c>
      <c r="G28" s="30" t="s">
        <v>194</v>
      </c>
      <c r="H28" s="570">
        <v>6</v>
      </c>
      <c r="I28" s="35">
        <v>20</v>
      </c>
      <c r="J28" s="40">
        <v>20</v>
      </c>
      <c r="K28" s="33" t="s">
        <v>368</v>
      </c>
      <c r="L28" s="636"/>
      <c r="M28" s="636"/>
      <c r="N28" s="636"/>
      <c r="O28" s="637"/>
      <c r="P28" s="332">
        <f>IF(OR(J28="",G28=Paramétrage!$D$9,G28=Paramétrage!$D$12,G28=Paramétrage!$D$15,G28=Paramétrage!$D$18,G28=Paramétrage!$D$22,G28=Paramétrage!$D$25,AND(G28&lt;&gt;Paramétrage!$D$9,K28="Mut+ext")),0,ROUNDUP(I28/J28,0))</f>
        <v>1</v>
      </c>
      <c r="Q28" s="17">
        <f>IF(OR(G28="",K28="Mut+ext"),0,IF(VLOOKUP(G28,Paramétrage!$D$6:$F$27,3,0)=0,0,IF(J28="","saisir capacité",H28*P28*VLOOKUP(G28,Paramétrage!$D$6:$F$27,2,0))))</f>
        <v>6</v>
      </c>
      <c r="R28" s="346"/>
      <c r="S28" s="347">
        <f>IF(OR(G28="",K28="Mut+ext"),0,IF(ISERROR(Q28+R28)=TRUE,Q28,Q28+R28))</f>
        <v>6</v>
      </c>
      <c r="T28" s="498">
        <f>IF(G28="",0,IF(ISERROR(R28+Q28*VLOOKUP(G28,Paramétrage!$D$6:$F$27,3,0))=TRUE,S28,R28+Q28*VLOOKUP(G28,Paramétrage!$D$6:$F$27,3,0)))</f>
        <v>6</v>
      </c>
      <c r="U28" s="495">
        <v>6</v>
      </c>
      <c r="V28" s="346"/>
      <c r="W28" s="346"/>
      <c r="X28" s="346"/>
      <c r="Y28" s="503">
        <f t="shared" si="3"/>
        <v>6</v>
      </c>
      <c r="Z28" s="636"/>
      <c r="AA28" s="636"/>
      <c r="AB28" s="637"/>
      <c r="AC28" s="16">
        <f>VLOOKUP(D28,Paramétrage!$K$6:$L$12,2,0)</f>
        <v>3</v>
      </c>
      <c r="AD28" s="27">
        <f>IF(B28="",0,IF(E28="",0,IF(SUMIF($B$9:$B$48,B28,$I$9:$I$48)=0,0,IF(E28="Obligatoire",AE28/I28,IF(F28="",AE28/SUMIF($B$9:$B$48,B28,$I$9:$I$48),AE28/(SUMIF($B$9:$B$48,B28,$I$9:$I$48)/F28))))))</f>
        <v>6</v>
      </c>
      <c r="AE28" s="16">
        <f t="shared" si="6"/>
        <v>120</v>
      </c>
    </row>
    <row r="29" spans="1:31" x14ac:dyDescent="0.25">
      <c r="A29" s="672"/>
      <c r="B29" s="586" t="s">
        <v>356</v>
      </c>
      <c r="C29" s="587" t="s">
        <v>391</v>
      </c>
      <c r="D29" s="31" t="s">
        <v>205</v>
      </c>
      <c r="E29" s="341" t="s">
        <v>337</v>
      </c>
      <c r="F29" s="29">
        <v>1</v>
      </c>
      <c r="G29" s="342" t="s">
        <v>234</v>
      </c>
      <c r="H29" s="343">
        <v>320</v>
      </c>
      <c r="I29" s="35">
        <v>14</v>
      </c>
      <c r="J29" s="344">
        <v>20</v>
      </c>
      <c r="K29" s="345" t="s">
        <v>368</v>
      </c>
      <c r="L29" s="640"/>
      <c r="M29" s="640"/>
      <c r="N29" s="640"/>
      <c r="O29" s="641"/>
      <c r="P29" s="339">
        <f>IF(OR(J29="",G29=Paramétrage!$D$9,G29=Paramétrage!$D$12,G29=Paramétrage!$D$15,G29=Paramétrage!$D$18,G29=Paramétrage!$D$22,G29=Paramétrage!$D$25,AND(G29&lt;&gt;Paramétrage!$D$9,K29="Mut+ext")),0,ROUNDUP(I29/J29,0))</f>
        <v>0</v>
      </c>
      <c r="Q29" s="17">
        <f>IF(OR(G29="",K29="Mut+ext"),0,IF(VLOOKUP(G29,Paramétrage!$D$6:$F$27,3,0)=0,0,IF(J29="","saisir capacité",H29*P29*VLOOKUP(G29,Paramétrage!$D$6:$F$27,2,0))))</f>
        <v>0</v>
      </c>
      <c r="R29" s="340"/>
      <c r="S29" s="15">
        <f>IF(OR(G29="",K29="Mut+ext"),0,IF(ISERROR(Q29+R29)=TRUE,Q29,Q29+R29))</f>
        <v>0</v>
      </c>
      <c r="T29" s="497">
        <f>IF(G29="",0,IF(ISERROR(R29+Q29*VLOOKUP(G29,Paramétrage!$D$6:$F$27,3,0))=TRUE,S29,R29+Q29*VLOOKUP(G29,Paramétrage!$D$6:$F$27,3,0)))</f>
        <v>0</v>
      </c>
      <c r="U29" s="495"/>
      <c r="V29" s="346"/>
      <c r="W29" s="346"/>
      <c r="X29" s="346"/>
      <c r="Y29" s="503">
        <f>SUM(U29:X29)</f>
        <v>0</v>
      </c>
      <c r="Z29" s="636" t="s">
        <v>370</v>
      </c>
      <c r="AA29" s="636"/>
      <c r="AB29" s="637"/>
      <c r="AC29" s="16">
        <f>VLOOKUP(D29,Paramétrage!$K$6:$L$12,2,0)</f>
        <v>3</v>
      </c>
      <c r="AD29" s="27">
        <f>IF(B29="",0,IF(E29="",0,IF(SUMIF($B$9:$B$48,B29,$I$9:$I$48)=0,0,IF(E29="Obligatoire",AE29/I29,IF(F29="",AE29/SUMIF($B$9:$B$48,B29,$I$9:$I$48),AE29/(SUMIF($B$9:$B$48,B29,$I$9:$I$48)/F29))))))</f>
        <v>320</v>
      </c>
      <c r="AE29" s="51">
        <f t="shared" si="6"/>
        <v>4480</v>
      </c>
    </row>
    <row r="30" spans="1:31" x14ac:dyDescent="0.25">
      <c r="A30" s="672"/>
      <c r="B30" s="586" t="s">
        <v>357</v>
      </c>
      <c r="C30" s="588" t="s">
        <v>363</v>
      </c>
      <c r="D30" s="31" t="s">
        <v>205</v>
      </c>
      <c r="E30" s="341" t="s">
        <v>337</v>
      </c>
      <c r="F30" s="29">
        <v>1</v>
      </c>
      <c r="G30" s="342" t="s">
        <v>203</v>
      </c>
      <c r="H30" s="36">
        <v>420</v>
      </c>
      <c r="I30" s="35">
        <v>14</v>
      </c>
      <c r="J30" s="40">
        <v>20</v>
      </c>
      <c r="K30" s="33" t="s">
        <v>368</v>
      </c>
      <c r="L30" s="636"/>
      <c r="M30" s="636"/>
      <c r="N30" s="636"/>
      <c r="O30" s="637"/>
      <c r="P30" s="332">
        <f>IF(OR(J30="",G30=Paramétrage!$D$9,G30=Paramétrage!$D$12,G30=Paramétrage!$D$15,G30=Paramétrage!$D$18,G30=Paramétrage!$D$22,G30=Paramétrage!$D$25,AND(G30&lt;&gt;Paramétrage!$D$9,K30="Mut+ext")),0,ROUNDUP(I30/J30,0))</f>
        <v>0</v>
      </c>
      <c r="Q30" s="17">
        <f>IF(OR(G30="",K30="Mut+ext"),0,IF(VLOOKUP(G30,Paramétrage!$D$6:$F$27,3,0)=0,0,IF(J30="","saisir capacité",H30*P30*VLOOKUP(G30,Paramétrage!$D$6:$F$27,2,0))))</f>
        <v>0</v>
      </c>
      <c r="R30" s="32"/>
      <c r="S30" s="15">
        <f t="shared" si="2"/>
        <v>0</v>
      </c>
      <c r="T30" s="497">
        <f>IF(G30="",0,IF(ISERROR(R30+Q30*VLOOKUP(G30,Paramétrage!$D$6:$F$27,3,0))=TRUE,S30,R30+Q30*VLOOKUP(G30,Paramétrage!$D$6:$F$27,3,0)))</f>
        <v>0</v>
      </c>
      <c r="U30" s="495"/>
      <c r="V30" s="346"/>
      <c r="W30" s="346"/>
      <c r="X30" s="346"/>
      <c r="Y30" s="503">
        <f t="shared" ref="Y30:Y48" si="7">SUM(U30:X30)</f>
        <v>0</v>
      </c>
      <c r="Z30" s="636" t="s">
        <v>370</v>
      </c>
      <c r="AA30" s="636"/>
      <c r="AB30" s="637"/>
      <c r="AC30" s="16">
        <f>VLOOKUP(D30,Paramétrage!$K$6:$L$12,2,0)</f>
        <v>3</v>
      </c>
      <c r="AD30" s="27">
        <f t="shared" si="1"/>
        <v>420</v>
      </c>
      <c r="AE30" s="16">
        <f t="shared" si="6"/>
        <v>5880</v>
      </c>
    </row>
    <row r="31" spans="1:31" hidden="1" x14ac:dyDescent="0.25">
      <c r="A31" s="672"/>
      <c r="B31" s="566"/>
      <c r="C31" s="28"/>
      <c r="D31" s="31"/>
      <c r="E31" s="44"/>
      <c r="F31" s="29">
        <v>1</v>
      </c>
      <c r="G31" s="30"/>
      <c r="H31" s="36"/>
      <c r="I31" s="35"/>
      <c r="J31" s="40"/>
      <c r="K31" s="33"/>
      <c r="L31" s="636"/>
      <c r="M31" s="636"/>
      <c r="N31" s="636"/>
      <c r="O31" s="637"/>
      <c r="P31" s="332">
        <f>IF(OR(J31="",G31=Paramétrage!$D$9,G31=Paramétrage!$D$12,G31=Paramétrage!$D$15,G31=Paramétrage!$D$18,G31=Paramétrage!$D$22,G31=Paramétrage!$D$25,AND(G31&lt;&gt;Paramétrage!$D$9,K31="Mut+ext")),0,ROUNDUP(I31/J31,0))</f>
        <v>0</v>
      </c>
      <c r="Q31" s="17">
        <f>IF(OR(G31="",K31="Mut+ext"),0,IF(VLOOKUP(G31,Paramétrage!$D$6:$F$27,3,0)=0,0,IF(J31="","saisir capacité",H31*P31*VLOOKUP(G31,Paramétrage!$D$6:$F$27,2,0))))</f>
        <v>0</v>
      </c>
      <c r="R31" s="32"/>
      <c r="S31" s="15">
        <f t="shared" si="2"/>
        <v>0</v>
      </c>
      <c r="T31" s="497">
        <f>IF(G31="",0,IF(ISERROR(R31+Q31*VLOOKUP(G31,Paramétrage!$D$6:$F$27,3,0))=TRUE,S31,R31+Q31*VLOOKUP(G31,Paramétrage!$D$6:$F$27,3,0)))</f>
        <v>0</v>
      </c>
      <c r="U31" s="495"/>
      <c r="V31" s="346"/>
      <c r="W31" s="346"/>
      <c r="X31" s="346"/>
      <c r="Y31" s="503">
        <f t="shared" si="7"/>
        <v>0</v>
      </c>
      <c r="Z31" s="636"/>
      <c r="AA31" s="636"/>
      <c r="AB31" s="637"/>
      <c r="AC31" s="16" t="e">
        <f>VLOOKUP(D31,Paramétrage!$K$6:$L$12,2,0)</f>
        <v>#N/A</v>
      </c>
      <c r="AD31" s="27">
        <f t="shared" si="1"/>
        <v>0</v>
      </c>
      <c r="AE31" s="16">
        <f t="shared" ref="AE31:AE42" si="8">H31*I31</f>
        <v>0</v>
      </c>
    </row>
    <row r="32" spans="1:31" hidden="1" x14ac:dyDescent="0.25">
      <c r="A32" s="672"/>
      <c r="B32" s="566"/>
      <c r="C32" s="28"/>
      <c r="D32" s="31"/>
      <c r="E32" s="44"/>
      <c r="F32" s="29">
        <v>1</v>
      </c>
      <c r="G32" s="30"/>
      <c r="H32" s="36"/>
      <c r="I32" s="35"/>
      <c r="J32" s="40"/>
      <c r="K32" s="33"/>
      <c r="L32" s="636"/>
      <c r="M32" s="636"/>
      <c r="N32" s="636"/>
      <c r="O32" s="637"/>
      <c r="P32" s="332">
        <f>IF(OR(J32="",G32=Paramétrage!$D$9,G32=Paramétrage!$D$12,G32=Paramétrage!$D$15,G32=Paramétrage!$D$18,G32=Paramétrage!$D$22,G32=Paramétrage!$D$25,AND(G32&lt;&gt;Paramétrage!$D$9,K32="Mut+ext")),0,ROUNDUP(I32/J32,0))</f>
        <v>0</v>
      </c>
      <c r="Q32" s="17">
        <f>IF(OR(G32="",K32="Mut+ext"),0,IF(VLOOKUP(G32,Paramétrage!$D$6:$F$27,3,0)=0,0,IF(J32="","saisir capacité",H32*P32*VLOOKUP(G32,Paramétrage!$D$6:$F$27,2,0))))</f>
        <v>0</v>
      </c>
      <c r="R32" s="32"/>
      <c r="S32" s="15">
        <f t="shared" si="2"/>
        <v>0</v>
      </c>
      <c r="T32" s="497">
        <f>IF(G32="",0,IF(ISERROR(R32+Q32*VLOOKUP(G32,Paramétrage!$D$6:$F$27,3,0))=TRUE,S32,R32+Q32*VLOOKUP(G32,Paramétrage!$D$6:$F$27,3,0)))</f>
        <v>0</v>
      </c>
      <c r="U32" s="495"/>
      <c r="V32" s="346"/>
      <c r="W32" s="346"/>
      <c r="X32" s="346"/>
      <c r="Y32" s="503">
        <f t="shared" si="7"/>
        <v>0</v>
      </c>
      <c r="Z32" s="636"/>
      <c r="AA32" s="636"/>
      <c r="AB32" s="637"/>
      <c r="AC32" s="16" t="e">
        <f>VLOOKUP(D32,Paramétrage!$K$6:$L$12,2,0)</f>
        <v>#N/A</v>
      </c>
      <c r="AD32" s="27">
        <f t="shared" si="1"/>
        <v>0</v>
      </c>
      <c r="AE32" s="16">
        <f t="shared" ref="AE32:AE37" si="9">H32*I32</f>
        <v>0</v>
      </c>
    </row>
    <row r="33" spans="1:31" s="635" customFormat="1" hidden="1" x14ac:dyDescent="0.25">
      <c r="A33" s="672"/>
      <c r="B33" s="616"/>
      <c r="C33" s="617"/>
      <c r="D33" s="618"/>
      <c r="E33" s="619"/>
      <c r="F33" s="620"/>
      <c r="G33" s="621"/>
      <c r="H33" s="622"/>
      <c r="I33" s="623"/>
      <c r="J33" s="624"/>
      <c r="K33" s="625"/>
      <c r="L33" s="657"/>
      <c r="M33" s="657"/>
      <c r="N33" s="657"/>
      <c r="O33" s="658"/>
      <c r="P33" s="626">
        <f>IF(OR(J33="",G33=Paramétrage!$D$9,G33=Paramétrage!$D$12,G33=Paramétrage!$D$15,G33=Paramétrage!$D$18,G33=Paramétrage!$D$22,G33=Paramétrage!$D$25,AND(G33&lt;&gt;Paramétrage!$D$9,K33="Mut+ext")),0,ROUNDUP(I33/J33,0))</f>
        <v>0</v>
      </c>
      <c r="Q33" s="627">
        <f>IF(OR(G33="",K33="Mut+ext"),0,IF(VLOOKUP(G33,Paramétrage!$D$6:$F$27,3,0)=0,0,IF(J33="","saisir capacité",H33*P33*VLOOKUP(G33,Paramétrage!$D$6:$F$27,2,0))))</f>
        <v>0</v>
      </c>
      <c r="R33" s="628"/>
      <c r="S33" s="629">
        <f t="shared" si="2"/>
        <v>0</v>
      </c>
      <c r="T33" s="630">
        <f>IF(G33="",0,IF(ISERROR(R33+Q33*VLOOKUP(G33,Paramétrage!$D$6:$F$27,3,0))=TRUE,S33,R33+Q33*VLOOKUP(G33,Paramétrage!$D$6:$F$27,3,0)))</f>
        <v>0</v>
      </c>
      <c r="U33" s="631"/>
      <c r="V33" s="621"/>
      <c r="W33" s="621"/>
      <c r="X33" s="621"/>
      <c r="Y33" s="632">
        <f t="shared" si="7"/>
        <v>0</v>
      </c>
      <c r="Z33" s="657"/>
      <c r="AA33" s="657"/>
      <c r="AB33" s="658"/>
      <c r="AC33" s="633" t="e">
        <f>VLOOKUP(D33,Paramétrage!$K$6:$L$12,2,0)</f>
        <v>#N/A</v>
      </c>
      <c r="AD33" s="634">
        <f t="shared" si="1"/>
        <v>0</v>
      </c>
      <c r="AE33" s="633">
        <f t="shared" si="9"/>
        <v>0</v>
      </c>
    </row>
    <row r="34" spans="1:31" hidden="1" x14ac:dyDescent="0.25">
      <c r="A34" s="672"/>
      <c r="B34" s="590"/>
      <c r="C34" s="589"/>
      <c r="D34" s="28"/>
      <c r="E34" s="44"/>
      <c r="F34" s="29">
        <v>1</v>
      </c>
      <c r="G34" s="30"/>
      <c r="H34" s="36"/>
      <c r="I34" s="35"/>
      <c r="J34" s="40"/>
      <c r="K34" s="33"/>
      <c r="L34" s="636"/>
      <c r="M34" s="636"/>
      <c r="N34" s="636"/>
      <c r="O34" s="637"/>
      <c r="P34" s="332">
        <f>IF(OR(J34="",G34=Paramétrage!$D$9,G34=Paramétrage!$D$12,G34=Paramétrage!$D$15,G34=Paramétrage!$D$18,G34=Paramétrage!$D$22,G34=Paramétrage!$D$25,AND(G34&lt;&gt;Paramétrage!$D$9,K34="Mut+ext")),0,ROUNDUP(I34/J34,0))</f>
        <v>0</v>
      </c>
      <c r="Q34" s="17">
        <f>IF(OR(G34="",K34="Mut+ext"),0,IF(VLOOKUP(G34,Paramétrage!$D$6:$F$27,3,0)=0,0,IF(J34="","saisir capacité",H34*P34*VLOOKUP(G34,Paramétrage!$D$6:$F$27,2,0))))</f>
        <v>0</v>
      </c>
      <c r="R34" s="366"/>
      <c r="S34" s="15">
        <f t="shared" si="2"/>
        <v>0</v>
      </c>
      <c r="T34" s="497">
        <f>IF(G34="",0,IF(ISERROR(R34+Q34*VLOOKUP(G34,Paramétrage!$D$6:$F$27,3,0))=TRUE,S34,R34+Q34*VLOOKUP(G34,Paramétrage!$D$6:$F$27,3,0)))</f>
        <v>0</v>
      </c>
      <c r="U34" s="495"/>
      <c r="V34" s="346"/>
      <c r="W34" s="346"/>
      <c r="X34" s="346"/>
      <c r="Y34" s="503">
        <f t="shared" si="7"/>
        <v>0</v>
      </c>
      <c r="Z34" s="636"/>
      <c r="AA34" s="636"/>
      <c r="AB34" s="637"/>
      <c r="AC34" s="16" t="e">
        <f>VLOOKUP(D34,Paramétrage!$K$6:$L$12,2,0)</f>
        <v>#N/A</v>
      </c>
      <c r="AD34" s="27">
        <f t="shared" si="1"/>
        <v>0</v>
      </c>
      <c r="AE34" s="16">
        <f t="shared" ref="AE34:AE35" si="10">H34*I34</f>
        <v>0</v>
      </c>
    </row>
    <row r="35" spans="1:31" s="612" customFormat="1" x14ac:dyDescent="0.25">
      <c r="A35" s="672"/>
      <c r="B35" s="613" t="s">
        <v>358</v>
      </c>
      <c r="C35" s="614" t="s">
        <v>350</v>
      </c>
      <c r="D35" s="596" t="s">
        <v>200</v>
      </c>
      <c r="E35" s="595" t="s">
        <v>337</v>
      </c>
      <c r="F35" s="597">
        <v>1</v>
      </c>
      <c r="G35" s="598" t="s">
        <v>219</v>
      </c>
      <c r="H35" s="599">
        <v>17</v>
      </c>
      <c r="I35" s="600">
        <v>6</v>
      </c>
      <c r="J35" s="601">
        <v>20</v>
      </c>
      <c r="K35" s="602" t="s">
        <v>368</v>
      </c>
      <c r="L35" s="642"/>
      <c r="M35" s="642"/>
      <c r="N35" s="642"/>
      <c r="O35" s="643"/>
      <c r="P35" s="603">
        <f>IF(OR(J35="",G35=Paramétrage!$D$9,G35=Paramétrage!$D$12,G35=Paramétrage!$D$15,G35=Paramétrage!$D$18,G35=Paramétrage!$D$22,G35=Paramétrage!$D$25,AND(G35&lt;&gt;Paramétrage!$D$9,K35="Mut+ext")),0,ROUNDUP(I35/J35,0))</f>
        <v>1</v>
      </c>
      <c r="Q35" s="604">
        <f>IF(OR(G35="",K35="Mut+ext"),0,IF(VLOOKUP(G35,Paramétrage!$D$6:$F$27,3,0)=0,0,IF(J35="","saisir capacité",H35*P35*VLOOKUP(G35,Paramétrage!$D$6:$F$27,2,0))))</f>
        <v>17</v>
      </c>
      <c r="R35" s="605"/>
      <c r="S35" s="606">
        <f t="shared" si="2"/>
        <v>17</v>
      </c>
      <c r="T35" s="607">
        <f>IF(G35="",0,IF(ISERROR(R35+Q35*VLOOKUP(G35,Paramétrage!$D$6:$F$27,3,0))=TRUE,S35,R35+Q35*VLOOKUP(G35,Paramétrage!$D$6:$F$27,3,0)))</f>
        <v>17</v>
      </c>
      <c r="U35" s="608">
        <v>17</v>
      </c>
      <c r="V35" s="598"/>
      <c r="W35" s="598"/>
      <c r="X35" s="598"/>
      <c r="Y35" s="609">
        <f t="shared" si="7"/>
        <v>17</v>
      </c>
      <c r="Z35" s="655" t="s">
        <v>369</v>
      </c>
      <c r="AA35" s="655"/>
      <c r="AB35" s="656"/>
      <c r="AC35" s="610">
        <f>VLOOKUP(D35,Paramétrage!$K$6:$L$12,2,0)</f>
        <v>2</v>
      </c>
      <c r="AD35" s="611">
        <f t="shared" si="1"/>
        <v>17</v>
      </c>
      <c r="AE35" s="610">
        <f t="shared" si="10"/>
        <v>102</v>
      </c>
    </row>
    <row r="36" spans="1:31" x14ac:dyDescent="0.25">
      <c r="A36" s="672"/>
      <c r="B36" s="590" t="s">
        <v>359</v>
      </c>
      <c r="C36" s="591" t="s">
        <v>389</v>
      </c>
      <c r="D36" s="44" t="s">
        <v>217</v>
      </c>
      <c r="E36" s="31" t="s">
        <v>337</v>
      </c>
      <c r="F36" s="29">
        <v>1</v>
      </c>
      <c r="G36" s="30" t="s">
        <v>190</v>
      </c>
      <c r="H36" s="36">
        <v>4</v>
      </c>
      <c r="I36" s="35">
        <v>20</v>
      </c>
      <c r="J36" s="40">
        <v>20</v>
      </c>
      <c r="K36" s="33" t="s">
        <v>368</v>
      </c>
      <c r="L36" s="636"/>
      <c r="M36" s="636"/>
      <c r="N36" s="636"/>
      <c r="O36" s="637"/>
      <c r="P36" s="332">
        <f>IF(OR(J36="",G36=Paramétrage!$D$9,G36=Paramétrage!$D$12,G36=Paramétrage!$D$15,G36=Paramétrage!$D$18,G36=Paramétrage!$D$22,G36=Paramétrage!$D$25,AND(G36&lt;&gt;Paramétrage!$D$9,K36="Mut+ext")),0,ROUNDUP(I36/J36,0))</f>
        <v>1</v>
      </c>
      <c r="Q36" s="17">
        <f>IF(OR(G36="",K36="Mut+ext"),0,IF(VLOOKUP(G36,Paramétrage!$D$6:$F$27,3,0)=0,0,IF(J36="","saisir capacité",H36*P36*VLOOKUP(G36,Paramétrage!$D$6:$F$27,2,0))))</f>
        <v>4</v>
      </c>
      <c r="R36" s="32"/>
      <c r="S36" s="15">
        <f t="shared" si="2"/>
        <v>4</v>
      </c>
      <c r="T36" s="497">
        <f>IF(G36="",0,IF(ISERROR(R36+Q36*VLOOKUP(G36,Paramétrage!$D$6:$F$27,3,0))=TRUE,S36,R36+Q36*VLOOKUP(G36,Paramétrage!$D$6:$F$27,3,0)))</f>
        <v>6</v>
      </c>
      <c r="U36" s="495">
        <v>4</v>
      </c>
      <c r="V36" s="346"/>
      <c r="W36" s="346"/>
      <c r="X36" s="346"/>
      <c r="Y36" s="503">
        <f t="shared" si="7"/>
        <v>4</v>
      </c>
      <c r="Z36" s="653"/>
      <c r="AA36" s="653"/>
      <c r="AB36" s="654"/>
      <c r="AC36" s="16">
        <f>VLOOKUP(D36,Paramétrage!$K$6:$L$12,2,0)</f>
        <v>3</v>
      </c>
      <c r="AD36" s="27">
        <f t="shared" si="1"/>
        <v>4</v>
      </c>
      <c r="AE36" s="16">
        <f t="shared" si="9"/>
        <v>80</v>
      </c>
    </row>
    <row r="37" spans="1:31" s="612" customFormat="1" x14ac:dyDescent="0.25">
      <c r="A37" s="672"/>
      <c r="B37" s="613" t="s">
        <v>360</v>
      </c>
      <c r="C37" s="614" t="s">
        <v>390</v>
      </c>
      <c r="D37" s="596" t="s">
        <v>200</v>
      </c>
      <c r="E37" s="595" t="s">
        <v>337</v>
      </c>
      <c r="F37" s="597">
        <v>1</v>
      </c>
      <c r="G37" s="598" t="s">
        <v>225</v>
      </c>
      <c r="H37" s="599">
        <v>100</v>
      </c>
      <c r="I37" s="600">
        <v>6</v>
      </c>
      <c r="J37" s="601">
        <v>20</v>
      </c>
      <c r="K37" s="602" t="s">
        <v>368</v>
      </c>
      <c r="L37" s="642"/>
      <c r="M37" s="642"/>
      <c r="N37" s="642"/>
      <c r="O37" s="643"/>
      <c r="P37" s="603">
        <f>IF(OR(J37="",G37=Paramétrage!$D$9,G37=Paramétrage!$D$12,G37=Paramétrage!$D$15,G37=Paramétrage!$D$18,G37=Paramétrage!$D$22,G37=Paramétrage!$D$25,AND(G37&lt;&gt;Paramétrage!$D$9,K37="Mut+ext")),0,ROUNDUP(I37/J37,0))</f>
        <v>0</v>
      </c>
      <c r="Q37" s="604">
        <f>IF(OR(G37="",K37="Mut+ext"),0,IF(VLOOKUP(G37,Paramétrage!$D$6:$F$27,3,0)=0,0,IF(J37="","saisir capacité",H37*P37*VLOOKUP(G37,Paramétrage!$D$6:$F$27,2,0))))</f>
        <v>0</v>
      </c>
      <c r="R37" s="605"/>
      <c r="S37" s="606">
        <f t="shared" si="2"/>
        <v>0</v>
      </c>
      <c r="T37" s="607">
        <f>IF(G37="",0,IF(ISERROR(R37+Q37*VLOOKUP(G37,Paramétrage!$D$6:$F$27,3,0))=TRUE,S37,R37+Q37*VLOOKUP(G37,Paramétrage!$D$6:$F$27,3,0)))</f>
        <v>0</v>
      </c>
      <c r="U37" s="608"/>
      <c r="V37" s="598"/>
      <c r="W37" s="598"/>
      <c r="X37" s="598"/>
      <c r="Y37" s="609">
        <f t="shared" si="7"/>
        <v>0</v>
      </c>
      <c r="Z37" s="655" t="s">
        <v>369</v>
      </c>
      <c r="AA37" s="655"/>
      <c r="AB37" s="656"/>
      <c r="AC37" s="610">
        <f>VLOOKUP(D37,Paramétrage!$K$6:$L$12,2,0)</f>
        <v>2</v>
      </c>
      <c r="AD37" s="611">
        <f t="shared" si="1"/>
        <v>100</v>
      </c>
      <c r="AE37" s="610">
        <f t="shared" si="9"/>
        <v>600</v>
      </c>
    </row>
    <row r="38" spans="1:31" x14ac:dyDescent="0.25">
      <c r="A38" s="672"/>
      <c r="B38" s="592" t="s">
        <v>361</v>
      </c>
      <c r="C38" s="588" t="s">
        <v>365</v>
      </c>
      <c r="D38" s="44" t="s">
        <v>205</v>
      </c>
      <c r="E38" s="31" t="s">
        <v>337</v>
      </c>
      <c r="F38" s="29">
        <v>1</v>
      </c>
      <c r="G38" s="30" t="s">
        <v>242</v>
      </c>
      <c r="H38" s="36">
        <v>50</v>
      </c>
      <c r="I38" s="35">
        <v>14</v>
      </c>
      <c r="J38" s="40">
        <v>20</v>
      </c>
      <c r="K38" s="33" t="s">
        <v>368</v>
      </c>
      <c r="L38" s="636"/>
      <c r="M38" s="636"/>
      <c r="N38" s="636"/>
      <c r="O38" s="637"/>
      <c r="P38" s="332">
        <f>IF(OR(J38="",G38=Paramétrage!$D$9,G38=Paramétrage!$D$12,G38=Paramétrage!$D$15,G38=Paramétrage!$D$18,G38=Paramétrage!$D$22,G38=Paramétrage!$D$25,AND(G38&lt;&gt;Paramétrage!$D$9,K38="Mut+ext")),0,ROUNDUP(I38/J38,0))</f>
        <v>0</v>
      </c>
      <c r="Q38" s="17">
        <f>IF(OR(G38="",K38="Mut+ext"),0,IF(VLOOKUP(G38,Paramétrage!$D$6:$F$27,3,0)=0,0,IF(J38="","saisir capacité",H38*P38*VLOOKUP(G38,Paramétrage!$D$6:$F$27,2,0))))</f>
        <v>0</v>
      </c>
      <c r="R38" s="32"/>
      <c r="S38" s="15">
        <f t="shared" si="2"/>
        <v>0</v>
      </c>
      <c r="T38" s="497">
        <f>IF(G38="",0,IF(ISERROR(R38+Q38*VLOOKUP(G38,Paramétrage!$D$6:$F$27,3,0))=TRUE,S38,R38+Q38*VLOOKUP(G38,Paramétrage!$D$6:$F$27,3,0)))</f>
        <v>0</v>
      </c>
      <c r="U38" s="495"/>
      <c r="V38" s="346"/>
      <c r="W38" s="346"/>
      <c r="X38" s="346"/>
      <c r="Y38" s="503">
        <f t="shared" si="7"/>
        <v>0</v>
      </c>
      <c r="Z38" s="653" t="s">
        <v>370</v>
      </c>
      <c r="AA38" s="653"/>
      <c r="AB38" s="654"/>
      <c r="AC38" s="16">
        <f>VLOOKUP(D38,Paramétrage!$K$6:$L$12,2,0)</f>
        <v>3</v>
      </c>
      <c r="AD38" s="27">
        <f>IF(B38="",0,IF(E38="",0,IF(SUMIF($B$9:$B$48,B38,$I$9:$I$48)=0,0,IF(E38="Obligatoire",AE38/I38,IF(F38="",AE38/SUMIF($B$9:$B$48,B38,$I$9:$I$48),AE38/(SUMIF($B$9:$B$48,B38,$I$9:$I$48)/F38))))))</f>
        <v>50</v>
      </c>
      <c r="AE38" s="16">
        <f>H38*I38</f>
        <v>700</v>
      </c>
    </row>
    <row r="39" spans="1:31" s="612" customFormat="1" x14ac:dyDescent="0.25">
      <c r="A39" s="672"/>
      <c r="B39" s="613" t="s">
        <v>362</v>
      </c>
      <c r="C39" s="615" t="s">
        <v>404</v>
      </c>
      <c r="D39" s="596" t="s">
        <v>200</v>
      </c>
      <c r="E39" s="595" t="s">
        <v>337</v>
      </c>
      <c r="F39" s="597">
        <v>1</v>
      </c>
      <c r="G39" s="598" t="s">
        <v>215</v>
      </c>
      <c r="H39" s="599">
        <v>0</v>
      </c>
      <c r="I39" s="600">
        <v>6</v>
      </c>
      <c r="J39" s="601">
        <v>20</v>
      </c>
      <c r="K39" s="602" t="s">
        <v>368</v>
      </c>
      <c r="L39" s="642"/>
      <c r="M39" s="642"/>
      <c r="N39" s="642"/>
      <c r="O39" s="643"/>
      <c r="P39" s="603">
        <f>IF(OR(J39="",G39=Paramétrage!$D$9,G39=Paramétrage!$D$12,G39=Paramétrage!$D$15,G39=Paramétrage!$D$18,G39=Paramétrage!$D$22,G39=Paramétrage!$D$25,AND(G39&lt;&gt;Paramétrage!$D$9,K39="Mut+ext")),0,ROUNDUP(I39/J39,0))</f>
        <v>0</v>
      </c>
      <c r="Q39" s="604">
        <f>IF(OR(G39="",K39="Mut+ext"),0,IF(VLOOKUP(G39,Paramétrage!$D$6:$F$27,3,0)=0,0,IF(J39="","saisir capacité",H39*P39*VLOOKUP(G39,Paramétrage!$D$6:$F$27,2,0))))</f>
        <v>0</v>
      </c>
      <c r="R39" s="605">
        <f>(6*8)+(1*6)</f>
        <v>54</v>
      </c>
      <c r="S39" s="606">
        <f t="shared" si="2"/>
        <v>54</v>
      </c>
      <c r="T39" s="607">
        <f>IF(G39="",0,IF(ISERROR(R39+Q39*VLOOKUP(G39,Paramétrage!$D$6:$F$27,3,0))=TRUE,S39,R39+Q39*VLOOKUP(G39,Paramétrage!$D$6:$F$27,3,0)))</f>
        <v>54</v>
      </c>
      <c r="U39" s="608">
        <v>45</v>
      </c>
      <c r="V39" s="598"/>
      <c r="W39" s="598">
        <v>9</v>
      </c>
      <c r="X39" s="598"/>
      <c r="Y39" s="609">
        <f t="shared" si="7"/>
        <v>54</v>
      </c>
      <c r="Z39" s="642" t="s">
        <v>405</v>
      </c>
      <c r="AA39" s="642"/>
      <c r="AB39" s="643"/>
      <c r="AC39" s="610">
        <f>VLOOKUP(D39,Paramétrage!$K$6:$L$12,2,0)</f>
        <v>2</v>
      </c>
      <c r="AD39" s="611">
        <f>IF(B39="",0,IF(E39="",0,IF(SUMIF($B$9:$B$48,B39,$I$9:$I$48)=0,0,IF(E39="Obligatoire",AE39/I39,IF(F39="",AE39/SUMIF($B$9:$B$48,B39,$I$9:$I$48),AE39/(SUMIF($B$9:$B$48,B39,$I$9:$I$48)/F39))))))</f>
        <v>0</v>
      </c>
      <c r="AE39" s="610">
        <f>H39*I39</f>
        <v>0</v>
      </c>
    </row>
    <row r="40" spans="1:31" x14ac:dyDescent="0.25">
      <c r="A40" s="672"/>
      <c r="B40" s="585" t="s">
        <v>364</v>
      </c>
      <c r="C40" s="584" t="s">
        <v>399</v>
      </c>
      <c r="D40" s="44" t="s">
        <v>205</v>
      </c>
      <c r="E40" s="31" t="s">
        <v>337</v>
      </c>
      <c r="F40" s="29">
        <v>1</v>
      </c>
      <c r="G40" s="30" t="s">
        <v>194</v>
      </c>
      <c r="H40" s="36">
        <v>12</v>
      </c>
      <c r="I40" s="35">
        <v>14</v>
      </c>
      <c r="J40" s="40">
        <v>20</v>
      </c>
      <c r="K40" s="33" t="s">
        <v>368</v>
      </c>
      <c r="L40" s="636"/>
      <c r="M40" s="636"/>
      <c r="N40" s="636"/>
      <c r="O40" s="637"/>
      <c r="P40" s="332">
        <f>IF(OR(J40="",G40=Paramétrage!$D$9,G40=Paramétrage!$D$12,G40=Paramétrage!$D$15,G40=Paramétrage!$D$18,G40=Paramétrage!$D$22,G40=Paramétrage!$D$25,AND(G40&lt;&gt;Paramétrage!$D$9,K40="Mut+ext")),0,ROUNDUP(I40/J40,0))</f>
        <v>1</v>
      </c>
      <c r="Q40" s="17">
        <f>IF(OR(G40="",K40="Mut+ext"),0,IF(VLOOKUP(G40,Paramétrage!$D$6:$F$27,3,0)=0,0,IF(J40="","saisir capacité",H40*P40*VLOOKUP(G40,Paramétrage!$D$6:$F$27,2,0))))</f>
        <v>12</v>
      </c>
      <c r="R40" s="32"/>
      <c r="S40" s="15">
        <f t="shared" si="2"/>
        <v>12</v>
      </c>
      <c r="T40" s="497">
        <f>IF(G40="",0,IF(ISERROR(R40+Q40*VLOOKUP(G40,Paramétrage!$D$6:$F$27,3,0))=TRUE,S40,R40+Q40*VLOOKUP(G40,Paramétrage!$D$6:$F$27,3,0)))</f>
        <v>12</v>
      </c>
      <c r="U40" s="495"/>
      <c r="V40" s="346"/>
      <c r="W40" s="346">
        <v>12</v>
      </c>
      <c r="X40" s="346"/>
      <c r="Y40" s="503">
        <f t="shared" si="7"/>
        <v>12</v>
      </c>
      <c r="Z40" s="564"/>
      <c r="AA40" s="564"/>
      <c r="AB40" s="564"/>
      <c r="AC40" s="16">
        <f>VLOOKUP(D40,Paramétrage!$K$6:$L$12,2,0)</f>
        <v>3</v>
      </c>
      <c r="AD40" s="27">
        <f>IF(B40="",0,IF(E40="",0,IF(SUMIF($B$9:$B$48,B40,$I$9:$I$48)=0,0,IF(E40="Obligatoire",AE40/I40,IF(F40="",AE40/SUMIF($B$9:$B$48,B40,$I$9:$I$48),AE40/(SUMIF($B$9:$B$48,B40,$I$9:$I$48)/F40))))))</f>
        <v>12</v>
      </c>
      <c r="AE40" s="16">
        <f t="shared" si="8"/>
        <v>168</v>
      </c>
    </row>
    <row r="41" spans="1:31" hidden="1" x14ac:dyDescent="0.25">
      <c r="A41" s="672"/>
      <c r="B41" s="46"/>
      <c r="C41" s="28"/>
      <c r="D41" s="44"/>
      <c r="E41" s="31"/>
      <c r="F41" s="29"/>
      <c r="G41" s="30"/>
      <c r="H41" s="36"/>
      <c r="I41" s="35"/>
      <c r="J41" s="40"/>
      <c r="K41" s="33"/>
      <c r="L41" s="636"/>
      <c r="M41" s="636"/>
      <c r="N41" s="636"/>
      <c r="O41" s="637"/>
      <c r="P41" s="332">
        <f>IF(OR(J41="",G41=Paramétrage!$D$9,G41=Paramétrage!$D$12,G41=Paramétrage!$D$15,G41=Paramétrage!$D$18,G41=Paramétrage!$D$22,G41=Paramétrage!$D$25,AND(G41&lt;&gt;Paramétrage!$D$9,K41="Mut+ext")),0,ROUNDUP(I41/J41,0))</f>
        <v>0</v>
      </c>
      <c r="Q41" s="17">
        <f>IF(OR(G41="",K41="Mut+ext"),0,IF(VLOOKUP(G41,Paramétrage!$D$6:$F$27,3,0)=0,0,IF(J41="","saisir capacité",H41*P41*VLOOKUP(G41,Paramétrage!$D$6:$F$27,2,0))))</f>
        <v>0</v>
      </c>
      <c r="R41" s="32"/>
      <c r="S41" s="15">
        <f t="shared" si="2"/>
        <v>0</v>
      </c>
      <c r="T41" s="497">
        <f>IF(G41="",0,IF(ISERROR(R41+Q41*VLOOKUP(G41,Paramétrage!$D$6:$F$27,3,0))=TRUE,S41,R41+Q41*VLOOKUP(G41,Paramétrage!$D$6:$F$27,3,0)))</f>
        <v>0</v>
      </c>
      <c r="U41" s="495"/>
      <c r="V41" s="346"/>
      <c r="W41" s="346"/>
      <c r="X41" s="346"/>
      <c r="Y41" s="503">
        <f t="shared" si="7"/>
        <v>0</v>
      </c>
      <c r="Z41" s="636"/>
      <c r="AA41" s="636"/>
      <c r="AB41" s="637"/>
      <c r="AC41" s="16" t="e">
        <f>VLOOKUP(D41,Paramétrage!$K$6:$L$12,2,0)</f>
        <v>#N/A</v>
      </c>
      <c r="AD41" s="27">
        <f t="shared" si="1"/>
        <v>0</v>
      </c>
      <c r="AE41" s="16">
        <f t="shared" si="8"/>
        <v>0</v>
      </c>
    </row>
    <row r="42" spans="1:31" hidden="1" x14ac:dyDescent="0.25">
      <c r="A42" s="672"/>
      <c r="B42" s="46"/>
      <c r="C42" s="28"/>
      <c r="D42" s="44"/>
      <c r="E42" s="31"/>
      <c r="F42" s="29"/>
      <c r="G42" s="30"/>
      <c r="H42" s="36"/>
      <c r="I42" s="35"/>
      <c r="J42" s="40"/>
      <c r="K42" s="33"/>
      <c r="L42" s="636"/>
      <c r="M42" s="636"/>
      <c r="N42" s="636"/>
      <c r="O42" s="637"/>
      <c r="P42" s="332">
        <f>IF(OR(J42="",G42=Paramétrage!$D$9,G42=Paramétrage!$D$12,G42=Paramétrage!$D$15,G42=Paramétrage!$D$18,G42=Paramétrage!$D$22,G42=Paramétrage!$D$25,AND(G42&lt;&gt;Paramétrage!$D$9,K42="Mut+ext")),0,ROUNDUP(I42/J42,0))</f>
        <v>0</v>
      </c>
      <c r="Q42" s="17">
        <f>IF(OR(G42="",K42="Mut+ext"),0,IF(VLOOKUP(G42,Paramétrage!$D$6:$F$27,3,0)=0,0,IF(J42="","saisir capacité",H42*P42*VLOOKUP(G42,Paramétrage!$D$6:$F$27,2,0))))</f>
        <v>0</v>
      </c>
      <c r="R42" s="32"/>
      <c r="S42" s="15">
        <f t="shared" si="2"/>
        <v>0</v>
      </c>
      <c r="T42" s="497">
        <f>IF(G42="",0,IF(ISERROR(R42+Q42*VLOOKUP(G42,Paramétrage!$D$6:$F$27,3,0))=TRUE,S42,R42+Q42*VLOOKUP(G42,Paramétrage!$D$6:$F$27,3,0)))</f>
        <v>0</v>
      </c>
      <c r="U42" s="495"/>
      <c r="V42" s="346"/>
      <c r="W42" s="346"/>
      <c r="X42" s="346"/>
      <c r="Y42" s="503">
        <f t="shared" si="7"/>
        <v>0</v>
      </c>
      <c r="Z42" s="636"/>
      <c r="AA42" s="636"/>
      <c r="AB42" s="637"/>
      <c r="AC42" s="16" t="e">
        <f>VLOOKUP(D42,Paramétrage!$K$6:$L$12,2,0)</f>
        <v>#N/A</v>
      </c>
      <c r="AD42" s="27">
        <f t="shared" si="1"/>
        <v>0</v>
      </c>
      <c r="AE42" s="16">
        <f t="shared" si="8"/>
        <v>0</v>
      </c>
    </row>
    <row r="43" spans="1:31" hidden="1" x14ac:dyDescent="0.25">
      <c r="A43" s="672"/>
      <c r="B43" s="46"/>
      <c r="C43" s="28"/>
      <c r="D43" s="44"/>
      <c r="E43" s="31"/>
      <c r="F43" s="29"/>
      <c r="G43" s="30"/>
      <c r="H43" s="36"/>
      <c r="I43" s="35"/>
      <c r="J43" s="40"/>
      <c r="K43" s="33"/>
      <c r="L43" s="636"/>
      <c r="M43" s="636"/>
      <c r="N43" s="636"/>
      <c r="O43" s="637"/>
      <c r="P43" s="332">
        <f>IF(OR(J43="",G43=Paramétrage!$D$9,G43=Paramétrage!$D$12,G43=Paramétrage!$D$15,G43=Paramétrage!$D$18,G43=Paramétrage!$D$22,G43=Paramétrage!$D$25,AND(G43&lt;&gt;Paramétrage!$D$9,K43="Mut+ext")),0,ROUNDUP(I43/J43,0))</f>
        <v>0</v>
      </c>
      <c r="Q43" s="17">
        <f>IF(OR(G43="",K43="Mut+ext"),0,IF(VLOOKUP(G43,Paramétrage!$D$6:$F$27,3,0)=0,0,IF(J43="","saisir capacité",H43*P43*VLOOKUP(G43,Paramétrage!$D$6:$F$27,2,0))))</f>
        <v>0</v>
      </c>
      <c r="R43" s="32"/>
      <c r="S43" s="15">
        <f t="shared" si="2"/>
        <v>0</v>
      </c>
      <c r="T43" s="497">
        <f>IF(G43="",0,IF(ISERROR(R43+Q43*VLOOKUP(G43,Paramétrage!$D$6:$F$27,3,0))=TRUE,S43,R43+Q43*VLOOKUP(G43,Paramétrage!$D$6:$F$27,3,0)))</f>
        <v>0</v>
      </c>
      <c r="U43" s="495"/>
      <c r="V43" s="346"/>
      <c r="W43" s="346"/>
      <c r="X43" s="346"/>
      <c r="Y43" s="503">
        <f t="shared" si="7"/>
        <v>0</v>
      </c>
      <c r="Z43" s="636"/>
      <c r="AA43" s="636"/>
      <c r="AB43" s="637"/>
      <c r="AC43" s="16" t="e">
        <f>VLOOKUP(D43,Paramétrage!$K$6:$L$12,2,0)</f>
        <v>#N/A</v>
      </c>
      <c r="AD43" s="27">
        <f t="shared" si="1"/>
        <v>0</v>
      </c>
      <c r="AE43" s="16">
        <f t="shared" ref="AE43:AE48" si="11">H43*I43</f>
        <v>0</v>
      </c>
    </row>
    <row r="44" spans="1:31" hidden="1" x14ac:dyDescent="0.25">
      <c r="A44" s="672"/>
      <c r="B44" s="47"/>
      <c r="C44" s="28"/>
      <c r="D44" s="44"/>
      <c r="E44" s="31"/>
      <c r="F44" s="29"/>
      <c r="G44" s="30"/>
      <c r="H44" s="36"/>
      <c r="I44" s="35"/>
      <c r="J44" s="40"/>
      <c r="K44" s="33"/>
      <c r="L44" s="636"/>
      <c r="M44" s="636"/>
      <c r="N44" s="636"/>
      <c r="O44" s="637"/>
      <c r="P44" s="332">
        <f>IF(OR(J44="",G44=Paramétrage!$D$9,G44=Paramétrage!$D$12,G44=Paramétrage!$D$15,G44=Paramétrage!$D$18,G44=Paramétrage!$D$22,G44=Paramétrage!$D$25,AND(G44&lt;&gt;Paramétrage!$D$9,K44="Mut+ext")),0,ROUNDUP(I44/J44,0))</f>
        <v>0</v>
      </c>
      <c r="Q44" s="17">
        <f>IF(OR(G44="",K44="Mut+ext"),0,IF(VLOOKUP(G44,Paramétrage!$D$6:$F$27,3,0)=0,0,IF(J44="","saisir capacité",H44*P44*VLOOKUP(G44,Paramétrage!$D$6:$F$27,2,0))))</f>
        <v>0</v>
      </c>
      <c r="R44" s="32"/>
      <c r="S44" s="15">
        <f t="shared" si="2"/>
        <v>0</v>
      </c>
      <c r="T44" s="497">
        <f>IF(G44="",0,IF(ISERROR(R44+Q44*VLOOKUP(G44,Paramétrage!$D$6:$F$27,3,0))=TRUE,S44,R44+Q44*VLOOKUP(G44,Paramétrage!$D$6:$F$27,3,0)))</f>
        <v>0</v>
      </c>
      <c r="U44" s="495"/>
      <c r="V44" s="346"/>
      <c r="W44" s="346"/>
      <c r="X44" s="346"/>
      <c r="Y44" s="503">
        <f t="shared" si="7"/>
        <v>0</v>
      </c>
      <c r="Z44" s="636"/>
      <c r="AA44" s="636"/>
      <c r="AB44" s="637"/>
      <c r="AC44" s="16" t="e">
        <f>VLOOKUP(D44,Paramétrage!$K$6:$L$12,2,0)</f>
        <v>#N/A</v>
      </c>
      <c r="AD44" s="27">
        <f t="shared" si="1"/>
        <v>0</v>
      </c>
      <c r="AE44" s="16">
        <f t="shared" si="11"/>
        <v>0</v>
      </c>
    </row>
    <row r="45" spans="1:31" hidden="1" x14ac:dyDescent="0.25">
      <c r="A45" s="672"/>
      <c r="B45" s="46"/>
      <c r="C45" s="28"/>
      <c r="D45" s="44"/>
      <c r="E45" s="31"/>
      <c r="F45" s="29"/>
      <c r="G45" s="30"/>
      <c r="H45" s="36"/>
      <c r="I45" s="35"/>
      <c r="J45" s="40"/>
      <c r="K45" s="33"/>
      <c r="L45" s="636"/>
      <c r="M45" s="636"/>
      <c r="N45" s="636"/>
      <c r="O45" s="637"/>
      <c r="P45" s="332">
        <f>IF(OR(J45="",G45=Paramétrage!$D$9,G45=Paramétrage!$D$12,G45=Paramétrage!$D$15,G45=Paramétrage!$D$18,G45=Paramétrage!$D$22,G45=Paramétrage!$D$25,AND(G45&lt;&gt;Paramétrage!$D$9,K45="Mut+ext")),0,ROUNDUP(I45/J45,0))</f>
        <v>0</v>
      </c>
      <c r="Q45" s="17">
        <f>IF(OR(G45="",K45="Mut+ext"),0,IF(VLOOKUP(G45,Paramétrage!$D$6:$F$27,3,0)=0,0,IF(J45="","saisir capacité",H45*P45*VLOOKUP(G45,Paramétrage!$D$6:$F$27,2,0))))</f>
        <v>0</v>
      </c>
      <c r="R45" s="32"/>
      <c r="S45" s="15">
        <f t="shared" si="2"/>
        <v>0</v>
      </c>
      <c r="T45" s="497">
        <f>IF(G45="",0,IF(ISERROR(R45+Q45*VLOOKUP(G45,Paramétrage!$D$6:$F$27,3,0))=TRUE,S45,R45+Q45*VLOOKUP(G45,Paramétrage!$D$6:$F$27,3,0)))</f>
        <v>0</v>
      </c>
      <c r="U45" s="495"/>
      <c r="V45" s="346"/>
      <c r="W45" s="346"/>
      <c r="X45" s="346"/>
      <c r="Y45" s="503">
        <f t="shared" si="7"/>
        <v>0</v>
      </c>
      <c r="Z45" s="636"/>
      <c r="AA45" s="636"/>
      <c r="AB45" s="637"/>
      <c r="AC45" s="16" t="e">
        <f>VLOOKUP(D45,Paramétrage!$K$6:$L$12,2,0)</f>
        <v>#N/A</v>
      </c>
      <c r="AD45" s="27">
        <f t="shared" si="1"/>
        <v>0</v>
      </c>
      <c r="AE45" s="16">
        <f t="shared" si="11"/>
        <v>0</v>
      </c>
    </row>
    <row r="46" spans="1:31" hidden="1" x14ac:dyDescent="0.25">
      <c r="A46" s="672"/>
      <c r="B46" s="46"/>
      <c r="C46" s="28"/>
      <c r="D46" s="44"/>
      <c r="E46" s="31"/>
      <c r="F46" s="29"/>
      <c r="G46" s="30"/>
      <c r="H46" s="36"/>
      <c r="I46" s="35"/>
      <c r="J46" s="40"/>
      <c r="K46" s="33"/>
      <c r="L46" s="636"/>
      <c r="M46" s="636"/>
      <c r="N46" s="636"/>
      <c r="O46" s="637"/>
      <c r="P46" s="332">
        <f>IF(OR(J46="",G46=Paramétrage!$D$9,G46=Paramétrage!$D$12,G46=Paramétrage!$D$15,G46=Paramétrage!$D$18,G46=Paramétrage!$D$22,G46=Paramétrage!$D$25,AND(G46&lt;&gt;Paramétrage!$D$9,K46="Mut+ext")),0,ROUNDUP(I46/J46,0))</f>
        <v>0</v>
      </c>
      <c r="Q46" s="17">
        <f>IF(OR(G46="",K46="Mut+ext"),0,IF(VLOOKUP(G46,Paramétrage!$D$6:$F$27,3,0)=0,0,IF(J46="","saisir capacité",H46*P46*VLOOKUP(G46,Paramétrage!$D$6:$F$27,2,0))))</f>
        <v>0</v>
      </c>
      <c r="R46" s="32"/>
      <c r="S46" s="15">
        <f t="shared" si="2"/>
        <v>0</v>
      </c>
      <c r="T46" s="497">
        <f>IF(G46="",0,IF(ISERROR(R46+Q46*VLOOKUP(G46,Paramétrage!$D$6:$F$27,3,0))=TRUE,S46,R46+Q46*VLOOKUP(G46,Paramétrage!$D$6:$F$27,3,0)))</f>
        <v>0</v>
      </c>
      <c r="U46" s="495"/>
      <c r="V46" s="346"/>
      <c r="W46" s="346"/>
      <c r="X46" s="346"/>
      <c r="Y46" s="503">
        <f t="shared" si="7"/>
        <v>0</v>
      </c>
      <c r="Z46" s="636"/>
      <c r="AA46" s="636"/>
      <c r="AB46" s="637"/>
      <c r="AC46" s="16" t="e">
        <f>VLOOKUP(D46,Paramétrage!$K$6:$L$12,2,0)</f>
        <v>#N/A</v>
      </c>
      <c r="AD46" s="27">
        <f t="shared" si="1"/>
        <v>0</v>
      </c>
      <c r="AE46" s="16">
        <f t="shared" si="11"/>
        <v>0</v>
      </c>
    </row>
    <row r="47" spans="1:31" hidden="1" x14ac:dyDescent="0.25">
      <c r="A47" s="672"/>
      <c r="B47" s="46"/>
      <c r="C47" s="28"/>
      <c r="D47" s="44"/>
      <c r="E47" s="31"/>
      <c r="F47" s="29"/>
      <c r="G47" s="30"/>
      <c r="H47" s="36"/>
      <c r="I47" s="35"/>
      <c r="J47" s="40"/>
      <c r="K47" s="33"/>
      <c r="L47" s="636"/>
      <c r="M47" s="636"/>
      <c r="N47" s="636"/>
      <c r="O47" s="637"/>
      <c r="P47" s="332">
        <f>IF(OR(J47="",G47=Paramétrage!$D$9,G47=Paramétrage!$D$12,G47=Paramétrage!$D$15,G47=Paramétrage!$D$18,G47=Paramétrage!$D$22,G47=Paramétrage!$D$25,AND(G47&lt;&gt;Paramétrage!$D$9,K47="Mut+ext")),0,ROUNDUP(I47/J47,0))</f>
        <v>0</v>
      </c>
      <c r="Q47" s="17">
        <f>IF(OR(G47="",K47="Mut+ext"),0,IF(VLOOKUP(G47,Paramétrage!$D$6:$F$27,3,0)=0,0,IF(J47="","saisir capacité",H47*P47*VLOOKUP(G47,Paramétrage!$D$6:$F$27,2,0))))</f>
        <v>0</v>
      </c>
      <c r="R47" s="32"/>
      <c r="S47" s="15">
        <f t="shared" si="2"/>
        <v>0</v>
      </c>
      <c r="T47" s="497">
        <f>IF(G47="",0,IF(ISERROR(R47+Q47*VLOOKUP(G47,Paramétrage!$D$6:$F$27,3,0))=TRUE,S47,R47+Q47*VLOOKUP(G47,Paramétrage!$D$6:$F$27,3,0)))</f>
        <v>0</v>
      </c>
      <c r="U47" s="495"/>
      <c r="V47" s="346"/>
      <c r="W47" s="346"/>
      <c r="X47" s="346"/>
      <c r="Y47" s="503">
        <f t="shared" si="7"/>
        <v>0</v>
      </c>
      <c r="Z47" s="636"/>
      <c r="AA47" s="636"/>
      <c r="AB47" s="637"/>
      <c r="AC47" s="16" t="e">
        <f>VLOOKUP(D47,Paramétrage!$K$6:$L$12,2,0)</f>
        <v>#N/A</v>
      </c>
      <c r="AD47" s="27">
        <f t="shared" si="1"/>
        <v>0</v>
      </c>
      <c r="AE47" s="16">
        <f t="shared" si="11"/>
        <v>0</v>
      </c>
    </row>
    <row r="48" spans="1:31" ht="16.2" hidden="1" thickBot="1" x14ac:dyDescent="0.3">
      <c r="A48" s="672"/>
      <c r="B48" s="46"/>
      <c r="C48" s="28"/>
      <c r="D48" s="44"/>
      <c r="E48" s="31"/>
      <c r="F48" s="29"/>
      <c r="G48" s="30"/>
      <c r="H48" s="36"/>
      <c r="I48" s="35"/>
      <c r="J48" s="40"/>
      <c r="K48" s="33"/>
      <c r="L48" s="636"/>
      <c r="M48" s="636"/>
      <c r="N48" s="636"/>
      <c r="O48" s="637"/>
      <c r="P48" s="332">
        <f>IF(OR(J48="",G48=Paramétrage!$D$9,G48=Paramétrage!$D$12,G48=Paramétrage!$D$15,G48=Paramétrage!$D$18,G48=Paramétrage!$D$22,G48=Paramétrage!$D$25,AND(G48&lt;&gt;Paramétrage!$D$9,K48="Mut+ext")),0,ROUNDUP(I48/J48,0))</f>
        <v>0</v>
      </c>
      <c r="Q48" s="17">
        <f>IF(OR(G48="",K48="Mut+ext"),0,IF(VLOOKUP(G48,Paramétrage!$D$6:$F$27,3,0)=0,0,IF(J48="","saisir capacité",H48*P48*VLOOKUP(G48,Paramétrage!$D$6:$F$27,2,0))))</f>
        <v>0</v>
      </c>
      <c r="R48" s="32"/>
      <c r="S48" s="15">
        <f t="shared" si="2"/>
        <v>0</v>
      </c>
      <c r="T48" s="497">
        <f>IF(G48="",0,IF(ISERROR(R48+Q48*VLOOKUP(G48,Paramétrage!$D$6:$F$27,3,0))=TRUE,S48,R48+Q48*VLOOKUP(G48,Paramétrage!$D$6:$F$27,3,0)))</f>
        <v>0</v>
      </c>
      <c r="U48" s="508"/>
      <c r="V48" s="509"/>
      <c r="W48" s="509"/>
      <c r="X48" s="509"/>
      <c r="Y48" s="510">
        <f t="shared" si="7"/>
        <v>0</v>
      </c>
      <c r="Z48" s="636"/>
      <c r="AA48" s="636"/>
      <c r="AB48" s="637"/>
      <c r="AC48" s="16" t="e">
        <f>VLOOKUP(D48,Paramétrage!$K$6:$L$12,2,0)</f>
        <v>#N/A</v>
      </c>
      <c r="AD48" s="27">
        <f t="shared" si="1"/>
        <v>0</v>
      </c>
      <c r="AE48" s="16">
        <f t="shared" si="11"/>
        <v>0</v>
      </c>
    </row>
    <row r="49" spans="1:31" ht="16.2" thickBot="1" x14ac:dyDescent="0.3">
      <c r="A49" s="673"/>
      <c r="B49" s="48"/>
      <c r="C49" s="56"/>
      <c r="D49" s="19"/>
      <c r="E49" s="360"/>
      <c r="F49" s="20"/>
      <c r="G49" s="18"/>
      <c r="H49" s="42">
        <f>AD49</f>
        <v>1236</v>
      </c>
      <c r="I49" s="37"/>
      <c r="J49" s="41"/>
      <c r="K49" s="45"/>
      <c r="L49" s="52"/>
      <c r="M49" s="52"/>
      <c r="N49" s="52"/>
      <c r="O49" s="53"/>
      <c r="P49" s="350"/>
      <c r="Q49" s="351">
        <f>SUM(Q9:Q48)</f>
        <v>346</v>
      </c>
      <c r="R49" s="328">
        <f>SUM(R9:R48)</f>
        <v>54</v>
      </c>
      <c r="S49" s="352">
        <f>SUM(S9:S48)</f>
        <v>400</v>
      </c>
      <c r="T49" s="57">
        <f>SUM(T9:T48)</f>
        <v>439.5</v>
      </c>
      <c r="U49" s="507">
        <f t="shared" ref="U49:Y49" si="12">SUM(U9:U48)</f>
        <v>181</v>
      </c>
      <c r="V49" s="507">
        <f t="shared" si="12"/>
        <v>0</v>
      </c>
      <c r="W49" s="507">
        <f t="shared" si="12"/>
        <v>219</v>
      </c>
      <c r="X49" s="507">
        <f t="shared" si="12"/>
        <v>0</v>
      </c>
      <c r="Y49" s="507">
        <f t="shared" si="12"/>
        <v>400</v>
      </c>
      <c r="Z49" s="336"/>
      <c r="AA49" s="54"/>
      <c r="AB49" s="337"/>
      <c r="AC49" s="26"/>
      <c r="AD49" s="55">
        <f>SUM(AD9:AD48)</f>
        <v>1236</v>
      </c>
      <c r="AE49" s="26">
        <f>SUM(AE9:AE48)</f>
        <v>18270</v>
      </c>
    </row>
    <row r="50" spans="1:31" hidden="1" x14ac:dyDescent="0.25">
      <c r="A50" s="671" t="s">
        <v>55</v>
      </c>
      <c r="B50" s="522"/>
      <c r="C50" s="28"/>
      <c r="D50" s="28"/>
      <c r="E50" s="44"/>
      <c r="F50" s="29"/>
      <c r="G50" s="30"/>
      <c r="H50" s="36"/>
      <c r="I50" s="35"/>
      <c r="J50" s="40"/>
      <c r="K50" s="33"/>
      <c r="L50" s="636"/>
      <c r="M50" s="636"/>
      <c r="N50" s="636"/>
      <c r="O50" s="637"/>
      <c r="P50" s="332">
        <f>IF(OR(J50="",G50=Paramétrage!$D$9,G50=Paramétrage!$D$12,G50=Paramétrage!$D$15,G50=Paramétrage!$D$18,G50=Paramétrage!$D$22,G50=Paramétrage!$D$25,AND(G50&lt;&gt;Paramétrage!$D$9,K50="Mut+ext")),0,ROUNDUP(I50/J50,0))</f>
        <v>0</v>
      </c>
      <c r="Q50" s="17">
        <f>IF(OR(G50="",K50="Mut+ext"),0,IF(VLOOKUP(G50,Paramétrage!$D$6:$F$27,3,0)=0,0,IF(J50="","saisir capacité",H50*P50*VLOOKUP(G50,Paramétrage!$D$6:$F$27,2,0))))</f>
        <v>0</v>
      </c>
      <c r="R50" s="49"/>
      <c r="S50" s="15">
        <f t="shared" si="2"/>
        <v>0</v>
      </c>
      <c r="T50" s="496">
        <f>IF(G50="",0,IF(ISERROR(R50+Q50*VLOOKUP(G50,Paramétrage!$D$6:$F$27,3,0))=TRUE,S50,R50+Q50*VLOOKUP(G50,Paramétrage!$D$6:$F$27,3,0)))</f>
        <v>0</v>
      </c>
      <c r="U50" s="500"/>
      <c r="V50" s="501"/>
      <c r="W50" s="501"/>
      <c r="X50" s="501"/>
      <c r="Y50" s="502">
        <f>SUM(U50:X50)</f>
        <v>0</v>
      </c>
      <c r="Z50" s="638"/>
      <c r="AA50" s="638"/>
      <c r="AB50" s="639"/>
      <c r="AC50" s="16" t="e">
        <f>VLOOKUP(D50,Paramétrage!$K$6:$L$12,2,0)</f>
        <v>#N/A</v>
      </c>
      <c r="AD50" s="50">
        <f t="shared" ref="AD50:AD89" si="13">IF(B50="",0,IF(E50="",0,IF(SUMIF($B$50:$B$89,B50,$I$50:$I$89)=0,0,IF(E50="Obligatoire",AE50/I50,IF(F50="",AE50/SUMIF($B$50:$B$89,B50,$I$50:$I$89),AE50/(SUMIF($B$50:$B$89,B50,$I$50:$I$89)/F50))))))</f>
        <v>0</v>
      </c>
      <c r="AE50" s="51">
        <f>H50*I50</f>
        <v>0</v>
      </c>
    </row>
    <row r="51" spans="1:31" hidden="1" x14ac:dyDescent="0.25">
      <c r="A51" s="672"/>
      <c r="B51" s="395"/>
      <c r="C51" s="28"/>
      <c r="D51" s="28"/>
      <c r="E51" s="44"/>
      <c r="F51" s="29"/>
      <c r="G51" s="30"/>
      <c r="H51" s="36"/>
      <c r="I51" s="35"/>
      <c r="J51" s="40"/>
      <c r="K51" s="33"/>
      <c r="L51" s="636"/>
      <c r="M51" s="636"/>
      <c r="N51" s="636"/>
      <c r="O51" s="637"/>
      <c r="P51" s="332">
        <f>IF(OR(J51="",G51=Paramétrage!$D$9,G51=Paramétrage!$D$12,G51=Paramétrage!$D$15,G51=Paramétrage!$D$18,G51=Paramétrage!$D$22,G51=Paramétrage!$D$25,AND(G51&lt;&gt;Paramétrage!$D$9,K51="Mut+ext")),0,ROUNDUP(I51/J51,0))</f>
        <v>0</v>
      </c>
      <c r="Q51" s="17">
        <f>IF(OR(G51="",K51="Mut+ext"),0,IF(VLOOKUP(G51,Paramétrage!$D$6:$F$27,3,0)=0,0,IF(J51="","saisir capacité",H51*P51*VLOOKUP(G51,Paramétrage!$D$6:$F$27,2,0))))</f>
        <v>0</v>
      </c>
      <c r="R51" s="366"/>
      <c r="S51" s="15">
        <f t="shared" si="2"/>
        <v>0</v>
      </c>
      <c r="T51" s="497">
        <f>IF(G51="",0,IF(ISERROR(R51+Q51*VLOOKUP(G51,Paramétrage!$D$6:$F$27,3,0))=TRUE,S51,R51+Q51*VLOOKUP(G51,Paramétrage!$D$6:$F$27,3,0)))</f>
        <v>0</v>
      </c>
      <c r="U51" s="495"/>
      <c r="V51" s="346"/>
      <c r="W51" s="346"/>
      <c r="X51" s="346"/>
      <c r="Y51" s="503">
        <f t="shared" ref="Y51:Y69" si="14">SUM(U51:X51)</f>
        <v>0</v>
      </c>
      <c r="Z51" s="636"/>
      <c r="AA51" s="636"/>
      <c r="AB51" s="637"/>
      <c r="AC51" s="16" t="e">
        <f>VLOOKUP(D51,Paramétrage!$K$6:$L$12,2,0)</f>
        <v>#N/A</v>
      </c>
      <c r="AD51" s="27">
        <f t="shared" si="13"/>
        <v>0</v>
      </c>
      <c r="AE51" s="16">
        <f>H51*I51</f>
        <v>0</v>
      </c>
    </row>
    <row r="52" spans="1:31" hidden="1" x14ac:dyDescent="0.25">
      <c r="A52" s="672"/>
      <c r="B52" s="395"/>
      <c r="C52" s="28"/>
      <c r="D52" s="28"/>
      <c r="E52" s="44"/>
      <c r="F52" s="29"/>
      <c r="G52" s="30"/>
      <c r="H52" s="36"/>
      <c r="I52" s="35"/>
      <c r="J52" s="40"/>
      <c r="K52" s="33"/>
      <c r="L52" s="636"/>
      <c r="M52" s="636"/>
      <c r="N52" s="636"/>
      <c r="O52" s="637"/>
      <c r="P52" s="332">
        <f>IF(OR(J52="",G52=Paramétrage!$D$9,G52=Paramétrage!$D$12,G52=Paramétrage!$D$15,G52=Paramétrage!$D$18,G52=Paramétrage!$D$22,G52=Paramétrage!$D$25,AND(G52&lt;&gt;Paramétrage!$D$9,K52="Mut+ext")),0,ROUNDUP(I52/J52,0))</f>
        <v>0</v>
      </c>
      <c r="Q52" s="17">
        <f>IF(OR(G52="",K52="Mut+ext"),0,IF(VLOOKUP(G52,Paramétrage!$D$6:$F$27,3,0)=0,0,IF(J52="","saisir capacité",H52*P52*VLOOKUP(G52,Paramétrage!$D$6:$F$27,2,0))))</f>
        <v>0</v>
      </c>
      <c r="R52" s="32"/>
      <c r="S52" s="15">
        <f t="shared" si="2"/>
        <v>0</v>
      </c>
      <c r="T52" s="497">
        <f>IF(G52="",0,IF(ISERROR(R52+Q52*VLOOKUP(G52,Paramétrage!$D$6:$F$27,3,0))=TRUE,S52,R52+Q52*VLOOKUP(G52,Paramétrage!$D$6:$F$27,3,0)))</f>
        <v>0</v>
      </c>
      <c r="U52" s="495"/>
      <c r="V52" s="346"/>
      <c r="W52" s="346"/>
      <c r="X52" s="346"/>
      <c r="Y52" s="503">
        <f t="shared" si="14"/>
        <v>0</v>
      </c>
      <c r="Z52" s="636"/>
      <c r="AA52" s="636"/>
      <c r="AB52" s="637"/>
      <c r="AC52" s="16" t="e">
        <f>VLOOKUP(D52,Paramétrage!$K$6:$L$12,2,0)</f>
        <v>#N/A</v>
      </c>
      <c r="AD52" s="27">
        <f t="shared" si="13"/>
        <v>0</v>
      </c>
      <c r="AE52" s="16">
        <f t="shared" ref="AE52:AE63" si="15">H52*I52</f>
        <v>0</v>
      </c>
    </row>
    <row r="53" spans="1:31" hidden="1" x14ac:dyDescent="0.25">
      <c r="A53" s="672"/>
      <c r="B53" s="395"/>
      <c r="C53" s="28"/>
      <c r="D53" s="28"/>
      <c r="E53" s="44"/>
      <c r="F53" s="29"/>
      <c r="G53" s="30"/>
      <c r="H53" s="36"/>
      <c r="I53" s="35"/>
      <c r="J53" s="40"/>
      <c r="K53" s="33"/>
      <c r="L53" s="636"/>
      <c r="M53" s="636"/>
      <c r="N53" s="636"/>
      <c r="O53" s="637"/>
      <c r="P53" s="332">
        <f>IF(OR(J53="",G53=Paramétrage!$D$9,G53=Paramétrage!$D$12,G53=Paramétrage!$D$15,G53=Paramétrage!$D$18,G53=Paramétrage!$D$22,G53=Paramétrage!$D$25,AND(G53&lt;&gt;Paramétrage!$D$9,K53="Mut+ext")),0,ROUNDUP(I53/J53,0))</f>
        <v>0</v>
      </c>
      <c r="Q53" s="17">
        <f>IF(OR(G53="",K53="Mut+ext"),0,IF(VLOOKUP(G53,Paramétrage!$D$6:$F$27,3,0)=0,0,IF(J53="","saisir capacité",H53*P53*VLOOKUP(G53,Paramétrage!$D$6:$F$27,2,0))))</f>
        <v>0</v>
      </c>
      <c r="R53" s="32"/>
      <c r="S53" s="15">
        <f t="shared" si="2"/>
        <v>0</v>
      </c>
      <c r="T53" s="497">
        <f>IF(G53="",0,IF(ISERROR(R53+Q53*VLOOKUP(G53,Paramétrage!$D$6:$F$27,3,0))=TRUE,S53,R53+Q53*VLOOKUP(G53,Paramétrage!$D$6:$F$27,3,0)))</f>
        <v>0</v>
      </c>
      <c r="U53" s="495"/>
      <c r="V53" s="346"/>
      <c r="W53" s="346"/>
      <c r="X53" s="346"/>
      <c r="Y53" s="503">
        <f t="shared" si="14"/>
        <v>0</v>
      </c>
      <c r="Z53" s="636"/>
      <c r="AA53" s="636"/>
      <c r="AB53" s="637"/>
      <c r="AC53" s="16" t="e">
        <f>VLOOKUP(D53,Paramétrage!$K$6:$L$12,2,0)</f>
        <v>#N/A</v>
      </c>
      <c r="AD53" s="27">
        <f t="shared" si="13"/>
        <v>0</v>
      </c>
      <c r="AE53" s="16">
        <f t="shared" si="15"/>
        <v>0</v>
      </c>
    </row>
    <row r="54" spans="1:31" hidden="1" x14ac:dyDescent="0.25">
      <c r="A54" s="672"/>
      <c r="B54" s="395"/>
      <c r="C54" s="28"/>
      <c r="D54" s="28"/>
      <c r="E54" s="44"/>
      <c r="F54" s="29"/>
      <c r="G54" s="30"/>
      <c r="H54" s="36"/>
      <c r="I54" s="35"/>
      <c r="J54" s="40"/>
      <c r="K54" s="33"/>
      <c r="L54" s="636"/>
      <c r="M54" s="636"/>
      <c r="N54" s="636"/>
      <c r="O54" s="637"/>
      <c r="P54" s="332">
        <f>IF(OR(J54="",G54=Paramétrage!$D$9,G54=Paramétrage!$D$12,G54=Paramétrage!$D$15,G54=Paramétrage!$D$18,G54=Paramétrage!$D$22,G54=Paramétrage!$D$25,AND(G54&lt;&gt;Paramétrage!$D$9,K54="Mut+ext")),0,ROUNDUP(I54/J54,0))</f>
        <v>0</v>
      </c>
      <c r="Q54" s="17">
        <f>IF(OR(G54="",K54="Mut+ext"),0,IF(VLOOKUP(G54,Paramétrage!$D$6:$F$27,3,0)=0,0,IF(J54="","saisir capacité",H54*P54*VLOOKUP(G54,Paramétrage!$D$6:$F$27,2,0))))</f>
        <v>0</v>
      </c>
      <c r="R54" s="32"/>
      <c r="S54" s="15">
        <f t="shared" si="2"/>
        <v>0</v>
      </c>
      <c r="T54" s="497">
        <f>IF(G54="",0,IF(ISERROR(R54+Q54*VLOOKUP(G54,Paramétrage!$D$6:$F$27,3,0))=TRUE,S54,R54+Q54*VLOOKUP(G54,Paramétrage!$D$6:$F$27,3,0)))</f>
        <v>0</v>
      </c>
      <c r="U54" s="495"/>
      <c r="V54" s="346"/>
      <c r="W54" s="346"/>
      <c r="X54" s="346"/>
      <c r="Y54" s="503">
        <f t="shared" si="14"/>
        <v>0</v>
      </c>
      <c r="Z54" s="636"/>
      <c r="AA54" s="636"/>
      <c r="AB54" s="637"/>
      <c r="AC54" s="16" t="e">
        <f>VLOOKUP(D54,Paramétrage!$K$6:$L$12,2,0)</f>
        <v>#N/A</v>
      </c>
      <c r="AD54" s="27">
        <f t="shared" si="13"/>
        <v>0</v>
      </c>
      <c r="AE54" s="16">
        <f t="shared" si="15"/>
        <v>0</v>
      </c>
    </row>
    <row r="55" spans="1:31" hidden="1" x14ac:dyDescent="0.25">
      <c r="A55" s="672"/>
      <c r="B55" s="395"/>
      <c r="C55" s="28"/>
      <c r="D55" s="28"/>
      <c r="E55" s="44"/>
      <c r="F55" s="29"/>
      <c r="G55" s="30"/>
      <c r="H55" s="36"/>
      <c r="I55" s="35"/>
      <c r="J55" s="40"/>
      <c r="K55" s="33"/>
      <c r="L55" s="636"/>
      <c r="M55" s="636"/>
      <c r="N55" s="636"/>
      <c r="O55" s="637"/>
      <c r="P55" s="332">
        <f>IF(OR(J55="",G55=Paramétrage!$D$9,G55=Paramétrage!$D$12,G55=Paramétrage!$D$15,G55=Paramétrage!$D$18,G55=Paramétrage!$D$22,G55=Paramétrage!$D$25,AND(G55&lt;&gt;Paramétrage!$D$9,K55="Mut+ext")),0,ROUNDUP(I55/J55,0))</f>
        <v>0</v>
      </c>
      <c r="Q55" s="17">
        <f>IF(OR(G55="",K55="Mut+ext"),0,IF(VLOOKUP(G55,Paramétrage!$D$6:$F$27,3,0)=0,0,IF(J55="","saisir capacité",H55*P55*VLOOKUP(G55,Paramétrage!$D$6:$F$27,2,0))))</f>
        <v>0</v>
      </c>
      <c r="R55" s="32"/>
      <c r="S55" s="15">
        <f t="shared" si="2"/>
        <v>0</v>
      </c>
      <c r="T55" s="497">
        <f>IF(G55="",0,IF(ISERROR(R55+Q55*VLOOKUP(G55,Paramétrage!$D$6:$F$27,3,0))=TRUE,S55,R55+Q55*VLOOKUP(G55,Paramétrage!$D$6:$F$27,3,0)))</f>
        <v>0</v>
      </c>
      <c r="U55" s="495"/>
      <c r="V55" s="346"/>
      <c r="W55" s="346"/>
      <c r="X55" s="346"/>
      <c r="Y55" s="503">
        <f t="shared" si="14"/>
        <v>0</v>
      </c>
      <c r="Z55" s="636"/>
      <c r="AA55" s="636"/>
      <c r="AB55" s="637"/>
      <c r="AC55" s="16" t="e">
        <f>VLOOKUP(D55,Paramétrage!$K$6:$L$12,2,0)</f>
        <v>#N/A</v>
      </c>
      <c r="AD55" s="27">
        <f t="shared" si="13"/>
        <v>0</v>
      </c>
      <c r="AE55" s="16">
        <f t="shared" si="15"/>
        <v>0</v>
      </c>
    </row>
    <row r="56" spans="1:31" hidden="1" x14ac:dyDescent="0.25">
      <c r="A56" s="672"/>
      <c r="B56" s="395"/>
      <c r="C56" s="28"/>
      <c r="D56" s="28"/>
      <c r="E56" s="44"/>
      <c r="F56" s="29"/>
      <c r="G56" s="30"/>
      <c r="H56" s="36"/>
      <c r="I56" s="35"/>
      <c r="J56" s="40"/>
      <c r="K56" s="33"/>
      <c r="L56" s="636"/>
      <c r="M56" s="636"/>
      <c r="N56" s="636"/>
      <c r="O56" s="637"/>
      <c r="P56" s="332">
        <f>IF(OR(J56="",G56=Paramétrage!$D$9,G56=Paramétrage!$D$12,G56=Paramétrage!$D$15,G56=Paramétrage!$D$18,G56=Paramétrage!$D$22,G56=Paramétrage!$D$25,AND(G56&lt;&gt;Paramétrage!$D$9,K56="Mut+ext")),0,ROUNDUP(I56/J56,0))</f>
        <v>0</v>
      </c>
      <c r="Q56" s="17">
        <f>IF(OR(G56="",K56="Mut+ext"),0,IF(VLOOKUP(G56,Paramétrage!$D$6:$F$27,3,0)=0,0,IF(J56="","saisir capacité",H56*P56*VLOOKUP(G56,Paramétrage!$D$6:$F$27,2,0))))</f>
        <v>0</v>
      </c>
      <c r="R56" s="32"/>
      <c r="S56" s="15">
        <f t="shared" si="2"/>
        <v>0</v>
      </c>
      <c r="T56" s="497">
        <f>IF(G56="",0,IF(ISERROR(R56+Q56*VLOOKUP(G56,Paramétrage!$D$6:$F$27,3,0))=TRUE,S56,R56+Q56*VLOOKUP(G56,Paramétrage!$D$6:$F$27,3,0)))</f>
        <v>0</v>
      </c>
      <c r="U56" s="495"/>
      <c r="V56" s="346"/>
      <c r="W56" s="346"/>
      <c r="X56" s="346"/>
      <c r="Y56" s="503">
        <f t="shared" si="14"/>
        <v>0</v>
      </c>
      <c r="Z56" s="636"/>
      <c r="AA56" s="636"/>
      <c r="AB56" s="637"/>
      <c r="AC56" s="16" t="e">
        <f>VLOOKUP(D56,Paramétrage!$K$6:$L$12,2,0)</f>
        <v>#N/A</v>
      </c>
      <c r="AD56" s="27">
        <f t="shared" si="13"/>
        <v>0</v>
      </c>
      <c r="AE56" s="16">
        <f t="shared" si="15"/>
        <v>0</v>
      </c>
    </row>
    <row r="57" spans="1:31" hidden="1" x14ac:dyDescent="0.25">
      <c r="A57" s="672"/>
      <c r="B57" s="395"/>
      <c r="C57" s="28"/>
      <c r="D57" s="28"/>
      <c r="E57" s="44"/>
      <c r="F57" s="29"/>
      <c r="G57" s="30"/>
      <c r="H57" s="36"/>
      <c r="I57" s="35"/>
      <c r="J57" s="40"/>
      <c r="K57" s="33"/>
      <c r="L57" s="636"/>
      <c r="M57" s="636"/>
      <c r="N57" s="636"/>
      <c r="O57" s="637"/>
      <c r="P57" s="332">
        <f>IF(OR(J57="",G57=Paramétrage!$D$9,G57=Paramétrage!$D$12,G57=Paramétrage!$D$15,G57=Paramétrage!$D$18,G57=Paramétrage!$D$22,G57=Paramétrage!$D$25,AND(G57&lt;&gt;Paramétrage!$D$9,K57="Mut+ext")),0,ROUNDUP(I57/J57,0))</f>
        <v>0</v>
      </c>
      <c r="Q57" s="17">
        <f>IF(OR(G57="",K57="Mut+ext"),0,IF(VLOOKUP(G57,Paramétrage!$D$6:$F$27,3,0)=0,0,IF(J57="","saisir capacité",H57*P57*VLOOKUP(G57,Paramétrage!$D$6:$F$27,2,0))))</f>
        <v>0</v>
      </c>
      <c r="R57" s="32"/>
      <c r="S57" s="15">
        <f t="shared" si="2"/>
        <v>0</v>
      </c>
      <c r="T57" s="497">
        <f>IF(G57="",0,IF(ISERROR(R57+Q57*VLOOKUP(G57,Paramétrage!$D$6:$F$27,3,0))=TRUE,S57,R57+Q57*VLOOKUP(G57,Paramétrage!$D$6:$F$27,3,0)))</f>
        <v>0</v>
      </c>
      <c r="U57" s="495"/>
      <c r="V57" s="346"/>
      <c r="W57" s="346"/>
      <c r="X57" s="346"/>
      <c r="Y57" s="503">
        <f t="shared" si="14"/>
        <v>0</v>
      </c>
      <c r="Z57" s="636"/>
      <c r="AA57" s="636"/>
      <c r="AB57" s="637"/>
      <c r="AC57" s="16" t="e">
        <f>VLOOKUP(D57,Paramétrage!$K$6:$L$12,2,0)</f>
        <v>#N/A</v>
      </c>
      <c r="AD57" s="27">
        <f t="shared" si="13"/>
        <v>0</v>
      </c>
      <c r="AE57" s="16">
        <f t="shared" si="15"/>
        <v>0</v>
      </c>
    </row>
    <row r="58" spans="1:31" hidden="1" x14ac:dyDescent="0.25">
      <c r="A58" s="672"/>
      <c r="B58" s="395"/>
      <c r="C58" s="28"/>
      <c r="D58" s="28"/>
      <c r="E58" s="44"/>
      <c r="F58" s="29"/>
      <c r="G58" s="30"/>
      <c r="H58" s="36"/>
      <c r="I58" s="35"/>
      <c r="J58" s="40"/>
      <c r="K58" s="33"/>
      <c r="L58" s="636"/>
      <c r="M58" s="636"/>
      <c r="N58" s="636"/>
      <c r="O58" s="637"/>
      <c r="P58" s="332">
        <f>IF(OR(J58="",G58=Paramétrage!$D$9,G58=Paramétrage!$D$12,G58=Paramétrage!$D$15,G58=Paramétrage!$D$18,G58=Paramétrage!$D$22,G58=Paramétrage!$D$25,AND(G58&lt;&gt;Paramétrage!$D$9,K58="Mut+ext")),0,ROUNDUP(I58/J58,0))</f>
        <v>0</v>
      </c>
      <c r="Q58" s="17">
        <f>IF(OR(G58="",K58="Mut+ext"),0,IF(VLOOKUP(G58,Paramétrage!$D$6:$F$27,3,0)=0,0,IF(J58="","saisir capacité",H58*P58*VLOOKUP(G58,Paramétrage!$D$6:$F$27,2,0))))</f>
        <v>0</v>
      </c>
      <c r="R58" s="32"/>
      <c r="S58" s="15">
        <f t="shared" si="2"/>
        <v>0</v>
      </c>
      <c r="T58" s="497">
        <f>IF(G58="",0,IF(ISERROR(R58+Q58*VLOOKUP(G58,Paramétrage!$D$6:$F$27,3,0))=TRUE,S58,R58+Q58*VLOOKUP(G58,Paramétrage!$D$6:$F$27,3,0)))</f>
        <v>0</v>
      </c>
      <c r="U58" s="495"/>
      <c r="V58" s="346"/>
      <c r="W58" s="346"/>
      <c r="X58" s="346"/>
      <c r="Y58" s="503">
        <f t="shared" si="14"/>
        <v>0</v>
      </c>
      <c r="Z58" s="636"/>
      <c r="AA58" s="636"/>
      <c r="AB58" s="637"/>
      <c r="AC58" s="16" t="e">
        <f>VLOOKUP(D58,Paramétrage!$K$6:$L$12,2,0)</f>
        <v>#N/A</v>
      </c>
      <c r="AD58" s="27">
        <f t="shared" si="13"/>
        <v>0</v>
      </c>
      <c r="AE58" s="16">
        <f t="shared" si="15"/>
        <v>0</v>
      </c>
    </row>
    <row r="59" spans="1:31" hidden="1" x14ac:dyDescent="0.25">
      <c r="A59" s="672"/>
      <c r="B59" s="522"/>
      <c r="C59" s="28"/>
      <c r="D59" s="28"/>
      <c r="E59" s="44"/>
      <c r="F59" s="29"/>
      <c r="G59" s="30"/>
      <c r="H59" s="36"/>
      <c r="I59" s="35"/>
      <c r="J59" s="40"/>
      <c r="K59" s="33"/>
      <c r="L59" s="636"/>
      <c r="M59" s="636"/>
      <c r="N59" s="636"/>
      <c r="O59" s="637"/>
      <c r="P59" s="332">
        <f>IF(OR(J59="",G59=Paramétrage!$D$9,G59=Paramétrage!$D$12,G59=Paramétrage!$D$15,G59=Paramétrage!$D$18,G59=Paramétrage!$D$22,G59=Paramétrage!$D$25,AND(G59&lt;&gt;Paramétrage!$D$9,K59="Mut+ext")),0,ROUNDUP(I59/J59,0))</f>
        <v>0</v>
      </c>
      <c r="Q59" s="17">
        <f>IF(OR(G59="",K59="Mut+ext"),0,IF(VLOOKUP(G59,Paramétrage!$D$6:$F$27,3,0)=0,0,IF(J59="","saisir capacité",H59*P59*VLOOKUP(G59,Paramétrage!$D$6:$F$27,2,0))))</f>
        <v>0</v>
      </c>
      <c r="R59" s="32"/>
      <c r="S59" s="15">
        <f t="shared" si="2"/>
        <v>0</v>
      </c>
      <c r="T59" s="497">
        <f>IF(G59="",0,IF(ISERROR(R59+Q59*VLOOKUP(G59,Paramétrage!$D$6:$F$27,3,0))=TRUE,S59,R59+Q59*VLOOKUP(G59,Paramétrage!$D$6:$F$27,3,0)))</f>
        <v>0</v>
      </c>
      <c r="U59" s="495"/>
      <c r="V59" s="346"/>
      <c r="W59" s="346"/>
      <c r="X59" s="346"/>
      <c r="Y59" s="503">
        <f t="shared" si="14"/>
        <v>0</v>
      </c>
      <c r="Z59" s="636"/>
      <c r="AA59" s="636"/>
      <c r="AB59" s="637"/>
      <c r="AC59" s="16" t="e">
        <f>VLOOKUP(D59,Paramétrage!$K$6:$L$12,2,0)</f>
        <v>#N/A</v>
      </c>
      <c r="AD59" s="27">
        <f t="shared" si="13"/>
        <v>0</v>
      </c>
      <c r="AE59" s="16">
        <f t="shared" si="15"/>
        <v>0</v>
      </c>
    </row>
    <row r="60" spans="1:31" hidden="1" x14ac:dyDescent="0.25">
      <c r="A60" s="672"/>
      <c r="B60" s="395"/>
      <c r="C60" s="28"/>
      <c r="D60" s="28"/>
      <c r="E60" s="44"/>
      <c r="F60" s="29"/>
      <c r="G60" s="30"/>
      <c r="H60" s="36"/>
      <c r="I60" s="35"/>
      <c r="J60" s="40"/>
      <c r="K60" s="33"/>
      <c r="L60" s="636"/>
      <c r="M60" s="636"/>
      <c r="N60" s="636"/>
      <c r="O60" s="637"/>
      <c r="P60" s="332">
        <f>IF(OR(J60="",G60=Paramétrage!$D$9,G60=Paramétrage!$D$12,G60=Paramétrage!$D$15,G60=Paramétrage!$D$18,G60=Paramétrage!$D$22,G60=Paramétrage!$D$25,AND(G60&lt;&gt;Paramétrage!$D$9,K60="Mut+ext")),0,ROUNDUP(I60/J60,0))</f>
        <v>0</v>
      </c>
      <c r="Q60" s="17">
        <f>IF(OR(G60="",K60="Mut+ext"),0,IF(VLOOKUP(G60,Paramétrage!$D$6:$F$27,3,0)=0,0,IF(J60="","saisir capacité",H60*P60*VLOOKUP(G60,Paramétrage!$D$6:$F$27,2,0))))</f>
        <v>0</v>
      </c>
      <c r="R60" s="32"/>
      <c r="S60" s="15">
        <f t="shared" si="2"/>
        <v>0</v>
      </c>
      <c r="T60" s="497">
        <f>IF(G60="",0,IF(ISERROR(R60+Q60*VLOOKUP(G60,Paramétrage!$D$6:$F$27,3,0))=TRUE,S60,R60+Q60*VLOOKUP(G60,Paramétrage!$D$6:$F$27,3,0)))</f>
        <v>0</v>
      </c>
      <c r="U60" s="495"/>
      <c r="V60" s="346"/>
      <c r="W60" s="346"/>
      <c r="X60" s="346"/>
      <c r="Y60" s="503">
        <f t="shared" si="14"/>
        <v>0</v>
      </c>
      <c r="Z60" s="636"/>
      <c r="AA60" s="636"/>
      <c r="AB60" s="637"/>
      <c r="AC60" s="16" t="e">
        <f>VLOOKUP(D60,Paramétrage!$K$6:$L$12,2,0)</f>
        <v>#N/A</v>
      </c>
      <c r="AD60" s="27">
        <f t="shared" si="13"/>
        <v>0</v>
      </c>
      <c r="AE60" s="16">
        <f t="shared" si="15"/>
        <v>0</v>
      </c>
    </row>
    <row r="61" spans="1:31" hidden="1" x14ac:dyDescent="0.25">
      <c r="A61" s="672"/>
      <c r="B61" s="522"/>
      <c r="C61" s="28"/>
      <c r="D61" s="28"/>
      <c r="E61" s="44"/>
      <c r="F61" s="29"/>
      <c r="G61" s="30"/>
      <c r="H61" s="36"/>
      <c r="I61" s="35"/>
      <c r="J61" s="40"/>
      <c r="K61" s="33"/>
      <c r="L61" s="636"/>
      <c r="M61" s="636"/>
      <c r="N61" s="636"/>
      <c r="O61" s="637"/>
      <c r="P61" s="332">
        <f>IF(OR(J61="",G61=Paramétrage!$D$9,G61=Paramétrage!$D$12,G61=Paramétrage!$D$15,G61=Paramétrage!$D$18,G61=Paramétrage!$D$22,G61=Paramétrage!$D$25,AND(G61&lt;&gt;Paramétrage!$D$9,K61="Mut+ext")),0,ROUNDUP(I61/J61,0))</f>
        <v>0</v>
      </c>
      <c r="Q61" s="17">
        <f>IF(OR(G61="",K61="Mut+ext"),0,IF(VLOOKUP(G61,Paramétrage!$D$6:$F$27,3,0)=0,0,IF(J61="","saisir capacité",H61*P61*VLOOKUP(G61,Paramétrage!$D$6:$F$27,2,0))))</f>
        <v>0</v>
      </c>
      <c r="R61" s="32"/>
      <c r="S61" s="15">
        <f t="shared" si="2"/>
        <v>0</v>
      </c>
      <c r="T61" s="497">
        <f>IF(G61="",0,IF(ISERROR(R61+Q61*VLOOKUP(G61,Paramétrage!$D$6:$F$27,3,0))=TRUE,S61,R61+Q61*VLOOKUP(G61,Paramétrage!$D$6:$F$27,3,0)))</f>
        <v>0</v>
      </c>
      <c r="U61" s="495"/>
      <c r="V61" s="346"/>
      <c r="W61" s="346"/>
      <c r="X61" s="346"/>
      <c r="Y61" s="503">
        <f t="shared" si="14"/>
        <v>0</v>
      </c>
      <c r="Z61" s="636"/>
      <c r="AA61" s="636"/>
      <c r="AB61" s="637"/>
      <c r="AC61" s="16" t="e">
        <f>VLOOKUP(D61,Paramétrage!$K$6:$L$12,2,0)</f>
        <v>#N/A</v>
      </c>
      <c r="AD61" s="27">
        <f t="shared" si="13"/>
        <v>0</v>
      </c>
      <c r="AE61" s="16">
        <f t="shared" si="15"/>
        <v>0</v>
      </c>
    </row>
    <row r="62" spans="1:31" hidden="1" x14ac:dyDescent="0.25">
      <c r="A62" s="672"/>
      <c r="B62" s="395"/>
      <c r="C62" s="28"/>
      <c r="D62" s="28"/>
      <c r="E62" s="44"/>
      <c r="F62" s="29"/>
      <c r="G62" s="30"/>
      <c r="H62" s="36"/>
      <c r="I62" s="35"/>
      <c r="J62" s="548"/>
      <c r="K62" s="546"/>
      <c r="L62" s="636"/>
      <c r="M62" s="636"/>
      <c r="N62" s="636"/>
      <c r="O62" s="637"/>
      <c r="P62" s="332">
        <f>IF(OR(J62="",G62=Paramétrage!$D$9,G62=Paramétrage!$D$12,G62=Paramétrage!$D$15,G62=Paramétrage!$D$18,G62=Paramétrage!$D$22,G62=Paramétrage!$D$25,AND(G62&lt;&gt;Paramétrage!$D$9,K62="Mut+ext")),0,ROUNDUP(I62/J62,0))</f>
        <v>0</v>
      </c>
      <c r="Q62" s="17">
        <f>IF(OR(G62="",K62="Mut+ext"),0,IF(VLOOKUP(G62,Paramétrage!$D$6:$F$27,3,0)=0,0,IF(J62="","saisir capacité",H62*P62*VLOOKUP(G62,Paramétrage!$D$6:$F$27,2,0))))</f>
        <v>0</v>
      </c>
      <c r="R62" s="32"/>
      <c r="S62" s="15">
        <f t="shared" si="2"/>
        <v>0</v>
      </c>
      <c r="T62" s="497">
        <f>IF(G62="",0,IF(ISERROR(R62+Q62*VLOOKUP(G62,Paramétrage!$D$6:$F$27,3,0))=TRUE,S62,R62+Q62*VLOOKUP(G62,Paramétrage!$D$6:$F$27,3,0)))</f>
        <v>0</v>
      </c>
      <c r="U62" s="495"/>
      <c r="V62" s="346"/>
      <c r="W62" s="346"/>
      <c r="X62" s="346"/>
      <c r="Y62" s="503">
        <f t="shared" si="14"/>
        <v>0</v>
      </c>
      <c r="Z62" s="636"/>
      <c r="AA62" s="636"/>
      <c r="AB62" s="637"/>
      <c r="AC62" s="16" t="e">
        <f>VLOOKUP(D62,Paramétrage!$K$6:$L$12,2,0)</f>
        <v>#N/A</v>
      </c>
      <c r="AD62" s="27">
        <f t="shared" si="13"/>
        <v>0</v>
      </c>
      <c r="AE62" s="16">
        <f t="shared" si="15"/>
        <v>0</v>
      </c>
    </row>
    <row r="63" spans="1:31" hidden="1" x14ac:dyDescent="0.25">
      <c r="A63" s="672"/>
      <c r="B63" s="368"/>
      <c r="C63" s="369"/>
      <c r="D63" s="28"/>
      <c r="E63" s="523"/>
      <c r="F63" s="29"/>
      <c r="G63" s="30"/>
      <c r="H63" s="30"/>
      <c r="I63" s="35"/>
      <c r="J63" s="548"/>
      <c r="K63" s="547"/>
      <c r="L63" s="636"/>
      <c r="M63" s="636"/>
      <c r="N63" s="636"/>
      <c r="O63" s="637"/>
      <c r="P63" s="332">
        <f>IF(OR(J63="",G63=Paramétrage!$D$9,G63=Paramétrage!$D$12,G63=Paramétrage!$D$15,G63=Paramétrage!$D$18,G63=Paramétrage!$D$22,G63=Paramétrage!$D$25,AND(G63&lt;&gt;Paramétrage!$D$9,K63="Mut+ext")),0,ROUNDUP(I63/J63,0))</f>
        <v>0</v>
      </c>
      <c r="Q63" s="17">
        <f>IF(OR(G63="",K63="Mut+ext"),0,IF(VLOOKUP(G63,Paramétrage!$D$6:$F$27,3,0)=0,0,IF(J63="","saisir capacité",H63*P63*VLOOKUP(G63,Paramétrage!$D$6:$F$27,2,0))))</f>
        <v>0</v>
      </c>
      <c r="R63" s="32"/>
      <c r="S63" s="15">
        <f t="shared" si="2"/>
        <v>0</v>
      </c>
      <c r="T63" s="497">
        <f>IF(G63="",0,IF(ISERROR(R63+Q63*VLOOKUP(G63,Paramétrage!$D$6:$F$27,3,0))=TRUE,S63,R63+Q63*VLOOKUP(G63,Paramétrage!$D$6:$F$27,3,0)))</f>
        <v>0</v>
      </c>
      <c r="U63" s="495"/>
      <c r="V63" s="346"/>
      <c r="W63" s="346"/>
      <c r="X63" s="346"/>
      <c r="Y63" s="503">
        <f t="shared" si="14"/>
        <v>0</v>
      </c>
      <c r="Z63" s="636"/>
      <c r="AA63" s="636"/>
      <c r="AB63" s="637"/>
      <c r="AC63" s="16" t="e">
        <f>VLOOKUP(D63,Paramétrage!$K$6:$L$12,2,0)</f>
        <v>#N/A</v>
      </c>
      <c r="AD63" s="27">
        <f t="shared" si="13"/>
        <v>0</v>
      </c>
      <c r="AE63" s="16">
        <f t="shared" si="15"/>
        <v>0</v>
      </c>
    </row>
    <row r="64" spans="1:31" hidden="1" x14ac:dyDescent="0.25">
      <c r="A64" s="672"/>
      <c r="B64" s="522"/>
      <c r="C64" s="28"/>
      <c r="D64" s="28"/>
      <c r="E64" s="523"/>
      <c r="F64" s="29"/>
      <c r="G64" s="30"/>
      <c r="H64" s="30"/>
      <c r="I64" s="35"/>
      <c r="J64" s="549"/>
      <c r="K64" s="547"/>
      <c r="L64" s="636"/>
      <c r="M64" s="636"/>
      <c r="N64" s="636"/>
      <c r="O64" s="637"/>
      <c r="P64" s="332">
        <f>IF(OR(J64="",G64=Paramétrage!$D$9,G64=Paramétrage!$D$12,G64=Paramétrage!$D$15,G64=Paramétrage!$D$18,G64=Paramétrage!$D$22,G64=Paramétrage!$D$25,AND(G64&lt;&gt;Paramétrage!$D$9,K64="Mut+ext")),0,ROUNDUP(I64/J64,0))</f>
        <v>0</v>
      </c>
      <c r="Q64" s="17">
        <f>IF(OR(G64="",K64="Mut+ext"),0,IF(VLOOKUP(G64,Paramétrage!$D$6:$F$27,3,0)=0,0,IF(J64="","saisir capacité",H64*P64*VLOOKUP(G64,Paramétrage!$D$6:$F$27,2,0))))</f>
        <v>0</v>
      </c>
      <c r="R64" s="32"/>
      <c r="S64" s="15">
        <f t="shared" si="2"/>
        <v>0</v>
      </c>
      <c r="T64" s="497">
        <f>IF(G64="",0,IF(ISERROR(R64+Q64*VLOOKUP(G64,Paramétrage!$D$6:$F$27,3,0))=TRUE,S64,R64+Q64*VLOOKUP(G64,Paramétrage!$D$6:$F$27,3,0)))</f>
        <v>0</v>
      </c>
      <c r="U64" s="495"/>
      <c r="V64" s="346"/>
      <c r="W64" s="346"/>
      <c r="X64" s="346"/>
      <c r="Y64" s="503">
        <f t="shared" si="14"/>
        <v>0</v>
      </c>
      <c r="Z64" s="636"/>
      <c r="AA64" s="636"/>
      <c r="AB64" s="637"/>
      <c r="AC64" s="16" t="e">
        <f>VLOOKUP(D64,Paramétrage!$K$6:$L$12,2,0)</f>
        <v>#N/A</v>
      </c>
      <c r="AD64" s="27">
        <f t="shared" si="13"/>
        <v>0</v>
      </c>
      <c r="AE64" s="16">
        <f t="shared" ref="AE64:AE69" si="16">H64*I64</f>
        <v>0</v>
      </c>
    </row>
    <row r="65" spans="1:31" hidden="1" x14ac:dyDescent="0.25">
      <c r="A65" s="672"/>
      <c r="B65" s="47"/>
      <c r="C65" s="28"/>
      <c r="D65" s="28"/>
      <c r="E65" s="523"/>
      <c r="F65" s="29"/>
      <c r="G65" s="30"/>
      <c r="H65" s="30"/>
      <c r="I65" s="35"/>
      <c r="J65" s="548"/>
      <c r="K65" s="547"/>
      <c r="L65" s="636"/>
      <c r="M65" s="636"/>
      <c r="N65" s="636"/>
      <c r="O65" s="637"/>
      <c r="P65" s="332">
        <f>IF(OR(J65="",G65=Paramétrage!$D$9,G65=Paramétrage!$D$12,G65=Paramétrage!$D$15,G65=Paramétrage!$D$18,G65=Paramétrage!$D$22,G65=Paramétrage!$D$25,AND(G65&lt;&gt;Paramétrage!$D$9,K65="Mut+ext")),0,ROUNDUP(I65/J65,0))</f>
        <v>0</v>
      </c>
      <c r="Q65" s="17">
        <f>IF(OR(G65="",K65="Mut+ext"),0,IF(VLOOKUP(G65,Paramétrage!$D$6:$F$27,3,0)=0,0,IF(J65="","saisir capacité",H65*P65*VLOOKUP(G65,Paramétrage!$D$6:$F$27,2,0))))</f>
        <v>0</v>
      </c>
      <c r="R65" s="32"/>
      <c r="S65" s="15">
        <f t="shared" si="2"/>
        <v>0</v>
      </c>
      <c r="T65" s="497">
        <f>IF(G65="",0,IF(ISERROR(R65+Q65*VLOOKUP(G65,Paramétrage!$D$6:$F$27,3,0))=TRUE,S65,R65+Q65*VLOOKUP(G65,Paramétrage!$D$6:$F$27,3,0)))</f>
        <v>0</v>
      </c>
      <c r="U65" s="495"/>
      <c r="V65" s="346"/>
      <c r="W65" s="346"/>
      <c r="X65" s="346"/>
      <c r="Y65" s="503">
        <f t="shared" si="14"/>
        <v>0</v>
      </c>
      <c r="Z65" s="636"/>
      <c r="AA65" s="636"/>
      <c r="AB65" s="637"/>
      <c r="AC65" s="16" t="e">
        <f>VLOOKUP(D65,Paramétrage!$K$6:$L$12,2,0)</f>
        <v>#N/A</v>
      </c>
      <c r="AD65" s="27">
        <f t="shared" si="13"/>
        <v>0</v>
      </c>
      <c r="AE65" s="16">
        <f t="shared" si="16"/>
        <v>0</v>
      </c>
    </row>
    <row r="66" spans="1:31" hidden="1" x14ac:dyDescent="0.25">
      <c r="A66" s="672"/>
      <c r="B66" s="46"/>
      <c r="C66" s="28"/>
      <c r="D66" s="28"/>
      <c r="E66" s="523"/>
      <c r="F66" s="29"/>
      <c r="G66" s="30"/>
      <c r="H66" s="30"/>
      <c r="I66" s="35"/>
      <c r="J66" s="548"/>
      <c r="K66" s="547"/>
      <c r="L66" s="636"/>
      <c r="M66" s="636"/>
      <c r="N66" s="636"/>
      <c r="O66" s="637"/>
      <c r="P66" s="332">
        <f>IF(OR(J66="",G66=Paramétrage!$D$9,G66=Paramétrage!$D$12,G66=Paramétrage!$D$15,G66=Paramétrage!$D$18,G66=Paramétrage!$D$22,G66=Paramétrage!$D$25,AND(G66&lt;&gt;Paramétrage!$D$9,K66="Mut+ext")),0,ROUNDUP(I66/J66,0))</f>
        <v>0</v>
      </c>
      <c r="Q66" s="17">
        <f>IF(OR(G66="",K66="Mut+ext"),0,IF(VLOOKUP(G66,Paramétrage!$D$6:$F$27,3,0)=0,0,IF(J66="","saisir capacité",H66*P66*VLOOKUP(G66,Paramétrage!$D$6:$F$27,2,0))))</f>
        <v>0</v>
      </c>
      <c r="R66" s="32"/>
      <c r="S66" s="15">
        <f t="shared" si="2"/>
        <v>0</v>
      </c>
      <c r="T66" s="497">
        <f>IF(G66="",0,IF(ISERROR(R66+Q66*VLOOKUP(G66,Paramétrage!$D$6:$F$27,3,0))=TRUE,S66,R66+Q66*VLOOKUP(G66,Paramétrage!$D$6:$F$27,3,0)))</f>
        <v>0</v>
      </c>
      <c r="U66" s="495"/>
      <c r="V66" s="346"/>
      <c r="W66" s="346"/>
      <c r="X66" s="346"/>
      <c r="Y66" s="503">
        <f t="shared" si="14"/>
        <v>0</v>
      </c>
      <c r="Z66" s="636"/>
      <c r="AA66" s="636"/>
      <c r="AB66" s="637"/>
      <c r="AC66" s="16" t="e">
        <f>VLOOKUP(D66,Paramétrage!$K$6:$L$12,2,0)</f>
        <v>#N/A</v>
      </c>
      <c r="AD66" s="27">
        <f t="shared" si="13"/>
        <v>0</v>
      </c>
      <c r="AE66" s="16">
        <f t="shared" si="16"/>
        <v>0</v>
      </c>
    </row>
    <row r="67" spans="1:31" hidden="1" x14ac:dyDescent="0.25">
      <c r="A67" s="672"/>
      <c r="B67" s="46"/>
      <c r="C67" s="28"/>
      <c r="D67" s="28"/>
      <c r="E67" s="523"/>
      <c r="F67" s="29"/>
      <c r="G67" s="30"/>
      <c r="H67" s="30"/>
      <c r="I67" s="35"/>
      <c r="J67" s="548"/>
      <c r="K67" s="547"/>
      <c r="L67" s="636"/>
      <c r="M67" s="636"/>
      <c r="N67" s="636"/>
      <c r="O67" s="637"/>
      <c r="P67" s="332">
        <f>IF(OR(J67="",G67=Paramétrage!$D$9,G67=Paramétrage!$D$12,G67=Paramétrage!$D$15,G67=Paramétrage!$D$18,G67=Paramétrage!$D$22,G67=Paramétrage!$D$25,AND(G67&lt;&gt;Paramétrage!$D$9,K67="Mut+ext")),0,ROUNDUP(I67/J67,0))</f>
        <v>0</v>
      </c>
      <c r="Q67" s="17">
        <f>IF(OR(G67="",K67="Mut+ext"),0,IF(VLOOKUP(G67,Paramétrage!$D$6:$F$27,3,0)=0,0,IF(J67="","saisir capacité",H67*P67*VLOOKUP(G67,Paramétrage!$D$6:$F$27,2,0))))</f>
        <v>0</v>
      </c>
      <c r="R67" s="32"/>
      <c r="S67" s="15">
        <f t="shared" si="2"/>
        <v>0</v>
      </c>
      <c r="T67" s="497">
        <f>IF(G67="",0,IF(ISERROR(R67+Q67*VLOOKUP(G67,Paramétrage!$D$6:$F$27,3,0))=TRUE,S67,R67+Q67*VLOOKUP(G67,Paramétrage!$D$6:$F$27,3,0)))</f>
        <v>0</v>
      </c>
      <c r="U67" s="495"/>
      <c r="V67" s="346"/>
      <c r="W67" s="346"/>
      <c r="X67" s="346"/>
      <c r="Y67" s="503">
        <f t="shared" si="14"/>
        <v>0</v>
      </c>
      <c r="Z67" s="636"/>
      <c r="AA67" s="636"/>
      <c r="AB67" s="637"/>
      <c r="AC67" s="16" t="e">
        <f>VLOOKUP(D67,Paramétrage!$K$6:$L$12,2,0)</f>
        <v>#N/A</v>
      </c>
      <c r="AD67" s="27">
        <f t="shared" si="13"/>
        <v>0</v>
      </c>
      <c r="AE67" s="16">
        <f t="shared" si="16"/>
        <v>0</v>
      </c>
    </row>
    <row r="68" spans="1:31" hidden="1" x14ac:dyDescent="0.25">
      <c r="A68" s="672"/>
      <c r="B68" s="46"/>
      <c r="C68" s="28"/>
      <c r="D68" s="28"/>
      <c r="E68" s="523"/>
      <c r="F68" s="29"/>
      <c r="G68" s="30"/>
      <c r="H68" s="30"/>
      <c r="I68" s="35"/>
      <c r="J68" s="548"/>
      <c r="K68" s="547"/>
      <c r="L68" s="636"/>
      <c r="M68" s="636"/>
      <c r="N68" s="636"/>
      <c r="O68" s="637"/>
      <c r="P68" s="332">
        <f>IF(OR(J68="",G68=Paramétrage!$D$9,G68=Paramétrage!$D$12,G68=Paramétrage!$D$15,G68=Paramétrage!$D$18,G68=Paramétrage!$D$22,G68=Paramétrage!$D$25,AND(G68&lt;&gt;Paramétrage!$D$9,K68="Mut+ext")),0,ROUNDUP(I68/J68,0))</f>
        <v>0</v>
      </c>
      <c r="Q68" s="17">
        <f>IF(OR(G68="",K68="Mut+ext"),0,IF(VLOOKUP(G68,Paramétrage!$D$6:$F$27,3,0)=0,0,IF(J68="","saisir capacité",H68*P68*VLOOKUP(G68,Paramétrage!$D$6:$F$27,2,0))))</f>
        <v>0</v>
      </c>
      <c r="R68" s="32"/>
      <c r="S68" s="15">
        <f t="shared" si="2"/>
        <v>0</v>
      </c>
      <c r="T68" s="497">
        <f>IF(G68="",0,IF(ISERROR(R68+Q68*VLOOKUP(G68,Paramétrage!$D$6:$F$27,3,0))=TRUE,S68,R68+Q68*VLOOKUP(G68,Paramétrage!$D$6:$F$27,3,0)))</f>
        <v>0</v>
      </c>
      <c r="U68" s="495"/>
      <c r="V68" s="346"/>
      <c r="W68" s="346"/>
      <c r="X68" s="346"/>
      <c r="Y68" s="503">
        <f t="shared" si="14"/>
        <v>0</v>
      </c>
      <c r="Z68" s="636"/>
      <c r="AA68" s="636"/>
      <c r="AB68" s="637"/>
      <c r="AC68" s="16" t="e">
        <f>VLOOKUP(D68,Paramétrage!$K$6:$L$12,2,0)</f>
        <v>#N/A</v>
      </c>
      <c r="AD68" s="27">
        <f t="shared" si="13"/>
        <v>0</v>
      </c>
      <c r="AE68" s="16">
        <f t="shared" si="16"/>
        <v>0</v>
      </c>
    </row>
    <row r="69" spans="1:31" ht="16.2" hidden="1" thickBot="1" x14ac:dyDescent="0.3">
      <c r="A69" s="672"/>
      <c r="B69" s="348"/>
      <c r="C69" s="31"/>
      <c r="D69" s="28"/>
      <c r="E69" s="361"/>
      <c r="F69" s="29"/>
      <c r="G69" s="30"/>
      <c r="H69" s="30"/>
      <c r="I69" s="35"/>
      <c r="J69" s="548"/>
      <c r="K69" s="547"/>
      <c r="L69" s="636"/>
      <c r="M69" s="636"/>
      <c r="N69" s="636"/>
      <c r="O69" s="637"/>
      <c r="P69" s="332">
        <f>IF(OR(J69="",G69=Paramétrage!$D$9,G69=Paramétrage!$D$12,G69=Paramétrage!$D$15,G69=Paramétrage!$D$18,G69=Paramétrage!$D$22,G69=Paramétrage!$D$25,AND(G69&lt;&gt;Paramétrage!$D$9,K69="Mut+ext")),0,ROUNDUP(I69/J69,0))</f>
        <v>0</v>
      </c>
      <c r="Q69" s="17">
        <f>IF(OR(G69="",K69="Mut+ext"),0,IF(VLOOKUP(G69,Paramétrage!$D$6:$F$27,3,0)=0,0,IF(J69="","saisir capacité",H69*P69*VLOOKUP(G69,Paramétrage!$D$6:$F$27,2,0))))</f>
        <v>0</v>
      </c>
      <c r="R69" s="346"/>
      <c r="S69" s="347">
        <f t="shared" si="2"/>
        <v>0</v>
      </c>
      <c r="T69" s="498">
        <f>IF(G69="",0,IF(ISERROR(R69+Q69*VLOOKUP(G69,Paramétrage!$D$6:$F$27,3,0))=TRUE,S69,R69+Q69*VLOOKUP(G69,Paramétrage!$D$6:$F$27,3,0)))</f>
        <v>0</v>
      </c>
      <c r="U69" s="495"/>
      <c r="V69" s="346"/>
      <c r="W69" s="346"/>
      <c r="X69" s="346"/>
      <c r="Y69" s="503">
        <f t="shared" si="14"/>
        <v>0</v>
      </c>
      <c r="Z69" s="636"/>
      <c r="AA69" s="636"/>
      <c r="AB69" s="637"/>
      <c r="AC69" s="16" t="e">
        <f>VLOOKUP(D69,Paramétrage!$K$6:$L$12,2,0)</f>
        <v>#N/A</v>
      </c>
      <c r="AD69" s="27">
        <f t="shared" si="13"/>
        <v>0</v>
      </c>
      <c r="AE69" s="16">
        <f t="shared" si="16"/>
        <v>0</v>
      </c>
    </row>
    <row r="70" spans="1:31" hidden="1" x14ac:dyDescent="0.25">
      <c r="A70" s="672"/>
      <c r="B70" s="46"/>
      <c r="C70" s="28"/>
      <c r="D70" s="28"/>
      <c r="E70" s="524"/>
      <c r="F70" s="29"/>
      <c r="G70" s="30"/>
      <c r="H70" s="30"/>
      <c r="I70" s="35"/>
      <c r="J70" s="549"/>
      <c r="K70" s="547"/>
      <c r="L70" s="640"/>
      <c r="M70" s="640"/>
      <c r="N70" s="640"/>
      <c r="O70" s="641"/>
      <c r="P70" s="339">
        <f>IF(OR(J70="",G70=Paramétrage!$D$9,G70=Paramétrage!$D$12,G70=Paramétrage!$D$15,G70=Paramétrage!$D$18,G70=Paramétrage!$D$22,G70=Paramétrage!$D$25,AND(G70&lt;&gt;Paramétrage!$D$9,K70="Mut+ext")),0,ROUNDUP(I70/J70,0))</f>
        <v>0</v>
      </c>
      <c r="Q70" s="17">
        <f>IF(OR(G70="",K70="Mut+ext"),0,IF(VLOOKUP(G70,Paramétrage!$D$6:$F$27,3,0)=0,0,IF(J70="","saisir capacité",H70*P70*VLOOKUP(G70,Paramétrage!$D$6:$F$27,2,0))))</f>
        <v>0</v>
      </c>
      <c r="R70" s="340"/>
      <c r="S70" s="15">
        <f t="shared" si="2"/>
        <v>0</v>
      </c>
      <c r="T70" s="497">
        <f>IF(G70="",0,IF(ISERROR(R70+Q70*VLOOKUP(G70,Paramétrage!$D$6:$F$27,3,0))=TRUE,S70,R70+Q70*VLOOKUP(G70,Paramétrage!$D$6:$F$27,3,0)))</f>
        <v>0</v>
      </c>
      <c r="U70" s="495"/>
      <c r="V70" s="346"/>
      <c r="W70" s="346"/>
      <c r="X70" s="346"/>
      <c r="Y70" s="503">
        <f>SUM(U70:X70)</f>
        <v>0</v>
      </c>
      <c r="Z70" s="640"/>
      <c r="AA70" s="640"/>
      <c r="AB70" s="641"/>
      <c r="AC70" s="16" t="e">
        <f>VLOOKUP(D70,Paramétrage!$K$6:$L$12,2,0)</f>
        <v>#N/A</v>
      </c>
      <c r="AD70" s="27">
        <f t="shared" si="13"/>
        <v>0</v>
      </c>
      <c r="AE70" s="51">
        <f>H70*I70</f>
        <v>0</v>
      </c>
    </row>
    <row r="71" spans="1:31" hidden="1" x14ac:dyDescent="0.25">
      <c r="A71" s="672"/>
      <c r="B71" s="46"/>
      <c r="C71" s="28"/>
      <c r="D71" s="28"/>
      <c r="E71" s="523"/>
      <c r="F71" s="29"/>
      <c r="G71" s="30"/>
      <c r="H71" s="30"/>
      <c r="I71" s="35"/>
      <c r="J71" s="549"/>
      <c r="K71" s="547"/>
      <c r="L71" s="636"/>
      <c r="M71" s="636"/>
      <c r="N71" s="636"/>
      <c r="O71" s="637"/>
      <c r="P71" s="332">
        <f>IF(OR(J71="",G71=Paramétrage!$D$9,G71=Paramétrage!$D$12,G71=Paramétrage!$D$15,G71=Paramétrage!$D$18,G71=Paramétrage!$D$22,G71=Paramétrage!$D$25,AND(G71&lt;&gt;Paramétrage!$D$9,K71="Mut+ext")),0,ROUNDUP(I71/J71,0))</f>
        <v>0</v>
      </c>
      <c r="Q71" s="17">
        <f>IF(OR(G71="",K71="Mut+ext"),0,IF(VLOOKUP(G71,Paramétrage!$D$6:$F$27,3,0)=0,0,IF(J71="","saisir capacité",H71*P71*VLOOKUP(G71,Paramétrage!$D$6:$F$27,2,0))))</f>
        <v>0</v>
      </c>
      <c r="R71" s="32"/>
      <c r="S71" s="15">
        <f t="shared" si="2"/>
        <v>0</v>
      </c>
      <c r="T71" s="497">
        <f>IF(G71="",0,IF(ISERROR(R71+Q71*VLOOKUP(G71,Paramétrage!$D$6:$F$27,3,0))=TRUE,S71,R71+Q71*VLOOKUP(G71,Paramétrage!$D$6:$F$27,3,0)))</f>
        <v>0</v>
      </c>
      <c r="U71" s="495"/>
      <c r="V71" s="346"/>
      <c r="W71" s="346"/>
      <c r="X71" s="346"/>
      <c r="Y71" s="503">
        <f t="shared" ref="Y71:Y89" si="17">SUM(U71:X71)</f>
        <v>0</v>
      </c>
      <c r="Z71" s="636"/>
      <c r="AA71" s="636"/>
      <c r="AB71" s="637"/>
      <c r="AC71" s="16" t="e">
        <f>VLOOKUP(D71,Paramétrage!$K$6:$L$12,2,0)</f>
        <v>#N/A</v>
      </c>
      <c r="AD71" s="27">
        <f t="shared" si="13"/>
        <v>0</v>
      </c>
      <c r="AE71" s="16">
        <f>H71*I71</f>
        <v>0</v>
      </c>
    </row>
    <row r="72" spans="1:31" hidden="1" x14ac:dyDescent="0.25">
      <c r="A72" s="672"/>
      <c r="B72" s="46"/>
      <c r="C72" s="28"/>
      <c r="D72" s="28"/>
      <c r="E72" s="523"/>
      <c r="F72" s="29"/>
      <c r="G72" s="30"/>
      <c r="H72" s="30"/>
      <c r="I72" s="35"/>
      <c r="J72" s="548"/>
      <c r="K72" s="547"/>
      <c r="L72" s="636"/>
      <c r="M72" s="636"/>
      <c r="N72" s="636"/>
      <c r="O72" s="637"/>
      <c r="P72" s="332">
        <f>IF(OR(J72="",G72=Paramétrage!$D$9,G72=Paramétrage!$D$12,G72=Paramétrage!$D$15,G72=Paramétrage!$D$18,G72=Paramétrage!$D$22,G72=Paramétrage!$D$25,AND(G72&lt;&gt;Paramétrage!$D$9,K72="Mut+ext")),0,ROUNDUP(I72/J72,0))</f>
        <v>0</v>
      </c>
      <c r="Q72" s="17">
        <f>IF(OR(G72="",K72="Mut+ext"),0,IF(VLOOKUP(G72,Paramétrage!$D$6:$F$27,3,0)=0,0,IF(J72="","saisir capacité",H72*P72*VLOOKUP(G72,Paramétrage!$D$6:$F$27,2,0))))</f>
        <v>0</v>
      </c>
      <c r="R72" s="32"/>
      <c r="S72" s="15">
        <f t="shared" ref="S72:S89" si="18">IF(OR(G72="",K72="Mut+ext"),0,IF(ISERROR(Q72+R72)=TRUE,Q72,Q72+R72))</f>
        <v>0</v>
      </c>
      <c r="T72" s="497">
        <f>IF(G72="",0,IF(ISERROR(R72+Q72*VLOOKUP(G72,Paramétrage!$D$6:$F$27,3,0))=TRUE,S72,R72+Q72*VLOOKUP(G72,Paramétrage!$D$6:$F$27,3,0)))</f>
        <v>0</v>
      </c>
      <c r="U72" s="495"/>
      <c r="V72" s="346"/>
      <c r="W72" s="346"/>
      <c r="X72" s="346"/>
      <c r="Y72" s="503">
        <f t="shared" si="17"/>
        <v>0</v>
      </c>
      <c r="Z72" s="636"/>
      <c r="AA72" s="636"/>
      <c r="AB72" s="637"/>
      <c r="AC72" s="16" t="e">
        <f>VLOOKUP(D72,Paramétrage!$K$6:$L$12,2,0)</f>
        <v>#N/A</v>
      </c>
      <c r="AD72" s="27">
        <f t="shared" si="13"/>
        <v>0</v>
      </c>
      <c r="AE72" s="16">
        <f>H72*I72</f>
        <v>0</v>
      </c>
    </row>
    <row r="73" spans="1:31" hidden="1" x14ac:dyDescent="0.25">
      <c r="A73" s="672"/>
      <c r="B73" s="46"/>
      <c r="C73" s="28"/>
      <c r="D73" s="28"/>
      <c r="E73" s="361"/>
      <c r="F73" s="29"/>
      <c r="G73" s="30"/>
      <c r="H73" s="30"/>
      <c r="I73" s="30"/>
      <c r="J73" s="549"/>
      <c r="K73" s="547"/>
      <c r="L73" s="636"/>
      <c r="M73" s="636"/>
      <c r="N73" s="636"/>
      <c r="O73" s="637"/>
      <c r="P73" s="332">
        <f>IF(OR(J73="",G73=Paramétrage!$D$9,G73=Paramétrage!$D$12,G73=Paramétrage!$D$15,G73=Paramétrage!$D$18,G73=Paramétrage!$D$22,G73=Paramétrage!$D$25,AND(G73&lt;&gt;Paramétrage!$D$9,K73="Mut+ext")),0,ROUNDUP(I73/J73,0))</f>
        <v>0</v>
      </c>
      <c r="Q73" s="17">
        <f>IF(OR(G73="",K73="Mut+ext"),0,IF(VLOOKUP(G73,Paramétrage!$D$6:$F$27,3,0)=0,0,IF(J73="","saisir capacité",H73*P73*VLOOKUP(G73,Paramétrage!$D$6:$F$27,2,0))))</f>
        <v>0</v>
      </c>
      <c r="R73" s="32"/>
      <c r="S73" s="15">
        <f t="shared" si="18"/>
        <v>0</v>
      </c>
      <c r="T73" s="497">
        <f>IF(G73="",0,IF(ISERROR(R73+Q73*VLOOKUP(G73,Paramétrage!$D$6:$F$27,3,0))=TRUE,S73,R73+Q73*VLOOKUP(G73,Paramétrage!$D$6:$F$27,3,0)))</f>
        <v>0</v>
      </c>
      <c r="U73" s="495"/>
      <c r="V73" s="346"/>
      <c r="W73" s="346"/>
      <c r="X73" s="346"/>
      <c r="Y73" s="503">
        <f t="shared" si="17"/>
        <v>0</v>
      </c>
      <c r="Z73" s="636"/>
      <c r="AA73" s="636"/>
      <c r="AB73" s="637"/>
      <c r="AC73" s="16" t="e">
        <f>VLOOKUP(D73,Paramétrage!$K$6:$L$12,2,0)</f>
        <v>#N/A</v>
      </c>
      <c r="AD73" s="27">
        <f t="shared" si="13"/>
        <v>0</v>
      </c>
      <c r="AE73" s="16">
        <f t="shared" ref="AE73:AE85" si="19">H73*I73</f>
        <v>0</v>
      </c>
    </row>
    <row r="74" spans="1:31" hidden="1" x14ac:dyDescent="0.25">
      <c r="A74" s="672"/>
      <c r="B74" s="46"/>
      <c r="C74" s="28"/>
      <c r="D74" s="28"/>
      <c r="E74" s="44"/>
      <c r="F74" s="29"/>
      <c r="G74" s="30"/>
      <c r="H74" s="30"/>
      <c r="I74" s="30"/>
      <c r="J74" s="549"/>
      <c r="K74" s="547"/>
      <c r="L74" s="636"/>
      <c r="M74" s="636"/>
      <c r="N74" s="636"/>
      <c r="O74" s="637"/>
      <c r="P74" s="332">
        <f>IF(OR(J74="",G74=Paramétrage!$D$9,G74=Paramétrage!$D$12,G74=Paramétrage!$D$15,G74=Paramétrage!$D$18,G74=Paramétrage!$D$22,G74=Paramétrage!$D$25,AND(G74&lt;&gt;Paramétrage!$D$9,K74="Mut+ext")),0,ROUNDUP(I74/J74,0))</f>
        <v>0</v>
      </c>
      <c r="Q74" s="17">
        <f>IF(OR(G74="",K74="Mut+ext"),0,IF(VLOOKUP(G74,Paramétrage!$D$6:$F$27,3,0)=0,0,IF(J74="","saisir capacité",H74*P74*VLOOKUP(G74,Paramétrage!$D$6:$F$27,2,0))))</f>
        <v>0</v>
      </c>
      <c r="R74" s="32"/>
      <c r="S74" s="15">
        <f t="shared" si="18"/>
        <v>0</v>
      </c>
      <c r="T74" s="497">
        <f>IF(G74="",0,IF(ISERROR(R74+Q74*VLOOKUP(G74,Paramétrage!$D$6:$F$27,3,0))=TRUE,S74,R74+Q74*VLOOKUP(G74,Paramétrage!$D$6:$F$27,3,0)))</f>
        <v>0</v>
      </c>
      <c r="U74" s="495"/>
      <c r="V74" s="346"/>
      <c r="W74" s="346"/>
      <c r="X74" s="346"/>
      <c r="Y74" s="503">
        <f t="shared" si="17"/>
        <v>0</v>
      </c>
      <c r="Z74" s="636"/>
      <c r="AA74" s="636"/>
      <c r="AB74" s="637"/>
      <c r="AC74" s="16" t="e">
        <f>VLOOKUP(D74,Paramétrage!$K$6:$L$12,2,0)</f>
        <v>#N/A</v>
      </c>
      <c r="AD74" s="27">
        <f t="shared" si="13"/>
        <v>0</v>
      </c>
      <c r="AE74" s="16">
        <f t="shared" si="19"/>
        <v>0</v>
      </c>
    </row>
    <row r="75" spans="1:31" hidden="1" x14ac:dyDescent="0.25">
      <c r="A75" s="672"/>
      <c r="B75" s="46"/>
      <c r="C75" s="28"/>
      <c r="D75" s="28"/>
      <c r="E75" s="44"/>
      <c r="F75" s="29"/>
      <c r="G75" s="30"/>
      <c r="H75" s="30"/>
      <c r="I75" s="346"/>
      <c r="J75" s="548"/>
      <c r="K75" s="547"/>
      <c r="L75" s="636"/>
      <c r="M75" s="636"/>
      <c r="N75" s="636"/>
      <c r="O75" s="637"/>
      <c r="P75" s="332">
        <f>IF(OR(J75="",G75=Paramétrage!$D$9,G75=Paramétrage!$D$12,G75=Paramétrage!$D$15,G75=Paramétrage!$D$18,G75=Paramétrage!$D$22,G75=Paramétrage!$D$25,AND(G75&lt;&gt;Paramétrage!$D$9,K75="Mut+ext")),0,ROUNDUP(I75/J75,0))</f>
        <v>0</v>
      </c>
      <c r="Q75" s="17">
        <f>IF(OR(G75="",K75="Mut+ext"),0,IF(VLOOKUP(G75,Paramétrage!$D$6:$F$27,3,0)=0,0,IF(J75="","saisir capacité",H75*P75*VLOOKUP(G75,Paramétrage!$D$6:$F$27,2,0))))</f>
        <v>0</v>
      </c>
      <c r="R75" s="525"/>
      <c r="S75" s="526">
        <f t="shared" si="18"/>
        <v>0</v>
      </c>
      <c r="T75" s="527">
        <f>IF(G75="",0,IF(ISERROR(R75+Q75*VLOOKUP(G75,Paramétrage!$D$6:$F$27,3,0))=TRUE,S75,R75+Q75*VLOOKUP(G75,Paramétrage!$D$6:$F$27,3,0)))</f>
        <v>0</v>
      </c>
      <c r="U75" s="528"/>
      <c r="V75" s="529"/>
      <c r="W75" s="529"/>
      <c r="X75" s="346"/>
      <c r="Y75" s="503">
        <f t="shared" si="17"/>
        <v>0</v>
      </c>
      <c r="Z75" s="636"/>
      <c r="AA75" s="636"/>
      <c r="AB75" s="637"/>
      <c r="AC75" s="16" t="e">
        <f>VLOOKUP(D75,Paramétrage!$K$6:$L$12,2,0)</f>
        <v>#N/A</v>
      </c>
      <c r="AD75" s="27">
        <f t="shared" si="13"/>
        <v>0</v>
      </c>
      <c r="AE75" s="16">
        <f t="shared" si="19"/>
        <v>0</v>
      </c>
    </row>
    <row r="76" spans="1:31" hidden="1" x14ac:dyDescent="0.25">
      <c r="A76" s="672"/>
      <c r="B76" s="46"/>
      <c r="C76" s="28"/>
      <c r="D76" s="28"/>
      <c r="E76" s="44"/>
      <c r="F76" s="29"/>
      <c r="G76" s="30"/>
      <c r="H76" s="30"/>
      <c r="I76" s="35"/>
      <c r="J76" s="548"/>
      <c r="K76" s="547"/>
      <c r="L76" s="636"/>
      <c r="M76" s="636"/>
      <c r="N76" s="636"/>
      <c r="O76" s="637"/>
      <c r="P76" s="332">
        <f>IF(OR(J76="",G76=Paramétrage!$D$9,G76=Paramétrage!$D$12,G76=Paramétrage!$D$15,G76=Paramétrage!$D$18,G76=Paramétrage!$D$22,G76=Paramétrage!$D$25,AND(G76&lt;&gt;Paramétrage!$D$9,K76="Mut+ext")),0,ROUNDUP(I76/J76,0))</f>
        <v>0</v>
      </c>
      <c r="Q76" s="17">
        <f>IF(OR(G76="",K76="Mut+ext"),0,IF(VLOOKUP(G76,Paramétrage!$D$6:$F$27,3,0)=0,0,IF(J76="","saisir capacité",H76*P76*VLOOKUP(G76,Paramétrage!$D$6:$F$27,2,0))))</f>
        <v>0</v>
      </c>
      <c r="R76" s="32"/>
      <c r="S76" s="15">
        <f t="shared" si="18"/>
        <v>0</v>
      </c>
      <c r="T76" s="497">
        <f>IF(G76="",0,IF(ISERROR(R76+Q76*VLOOKUP(G76,Paramétrage!$D$6:$F$27,3,0))=TRUE,S76,R76+Q76*VLOOKUP(G76,Paramétrage!$D$6:$F$27,3,0)))</f>
        <v>0</v>
      </c>
      <c r="U76" s="495"/>
      <c r="V76" s="346"/>
      <c r="W76" s="346"/>
      <c r="X76" s="346"/>
      <c r="Y76" s="503">
        <f t="shared" si="17"/>
        <v>0</v>
      </c>
      <c r="Z76" s="636"/>
      <c r="AA76" s="636"/>
      <c r="AB76" s="637"/>
      <c r="AC76" s="16" t="e">
        <f>VLOOKUP(D76,Paramétrage!$K$6:$L$12,2,0)</f>
        <v>#N/A</v>
      </c>
      <c r="AD76" s="27">
        <f t="shared" si="13"/>
        <v>0</v>
      </c>
      <c r="AE76" s="16">
        <f t="shared" si="19"/>
        <v>0</v>
      </c>
    </row>
    <row r="77" spans="1:31" hidden="1" x14ac:dyDescent="0.25">
      <c r="A77" s="672"/>
      <c r="B77" s="46"/>
      <c r="C77" s="28"/>
      <c r="D77" s="28"/>
      <c r="E77" s="44"/>
      <c r="F77" s="29"/>
      <c r="G77" s="30"/>
      <c r="H77" s="30"/>
      <c r="I77" s="30"/>
      <c r="J77" s="549"/>
      <c r="K77" s="547"/>
      <c r="L77" s="636"/>
      <c r="M77" s="636"/>
      <c r="N77" s="636"/>
      <c r="O77" s="637"/>
      <c r="P77" s="332">
        <f>IF(OR(J77="",G77=Paramétrage!$D$9,G77=Paramétrage!$D$12,G77=Paramétrage!$D$15,G77=Paramétrage!$D$18,G77=Paramétrage!$D$22,G77=Paramétrage!$D$25,AND(G77&lt;&gt;Paramétrage!$D$9,K77="Mut+ext")),0,ROUNDUP(I77/J77,0))</f>
        <v>0</v>
      </c>
      <c r="Q77" s="17">
        <f>IF(OR(G77="",K77="Mut+ext"),0,IF(VLOOKUP(G77,Paramétrage!$D$6:$F$27,3,0)=0,0,IF(J77="","saisir capacité",H77*P77*VLOOKUP(G77,Paramétrage!$D$6:$F$27,2,0))))</f>
        <v>0</v>
      </c>
      <c r="R77" s="32"/>
      <c r="S77" s="15">
        <f t="shared" si="18"/>
        <v>0</v>
      </c>
      <c r="T77" s="497">
        <f>IF(G77="",0,IF(ISERROR(R77+Q77*VLOOKUP(G77,Paramétrage!$D$6:$F$27,3,0))=TRUE,S77,R77+Q77*VLOOKUP(G77,Paramétrage!$D$6:$F$27,3,0)))</f>
        <v>0</v>
      </c>
      <c r="U77" s="495"/>
      <c r="V77" s="346"/>
      <c r="W77" s="346"/>
      <c r="X77" s="346"/>
      <c r="Y77" s="503">
        <f t="shared" si="17"/>
        <v>0</v>
      </c>
      <c r="Z77" s="636"/>
      <c r="AA77" s="636"/>
      <c r="AB77" s="637"/>
      <c r="AC77" s="16" t="e">
        <f>VLOOKUP(D77,Paramétrage!$K$6:$L$12,2,0)</f>
        <v>#N/A</v>
      </c>
      <c r="AD77" s="27">
        <f t="shared" si="13"/>
        <v>0</v>
      </c>
      <c r="AE77" s="16">
        <f t="shared" si="19"/>
        <v>0</v>
      </c>
    </row>
    <row r="78" spans="1:31" hidden="1" x14ac:dyDescent="0.25">
      <c r="A78" s="672"/>
      <c r="B78" s="46"/>
      <c r="C78" s="28"/>
      <c r="D78" s="28"/>
      <c r="E78" s="44"/>
      <c r="F78" s="29"/>
      <c r="G78" s="30"/>
      <c r="H78" s="30"/>
      <c r="I78" s="30"/>
      <c r="J78" s="549"/>
      <c r="K78" s="547"/>
      <c r="L78" s="636"/>
      <c r="M78" s="636"/>
      <c r="N78" s="636"/>
      <c r="O78" s="637"/>
      <c r="P78" s="332">
        <f>IF(OR(J78="",G78=Paramétrage!$D$9,G78=Paramétrage!$D$12,G78=Paramétrage!$D$15,G78=Paramétrage!$D$18,G78=Paramétrage!$D$22,G78=Paramétrage!$D$25,AND(G78&lt;&gt;Paramétrage!$D$9,K78="Mut+ext")),0,ROUNDUP(I78/J78,0))</f>
        <v>0</v>
      </c>
      <c r="Q78" s="17">
        <f>IF(OR(G78="",K78="Mut+ext"),0,IF(VLOOKUP(G78,Paramétrage!$D$6:$F$27,3,0)=0,0,IF(J78="","saisir capacité",H78*P78*VLOOKUP(G78,Paramétrage!$D$6:$F$27,2,0))))</f>
        <v>0</v>
      </c>
      <c r="R78" s="32"/>
      <c r="S78" s="15">
        <f t="shared" si="18"/>
        <v>0</v>
      </c>
      <c r="T78" s="497">
        <f>IF(G78="",0,IF(ISERROR(R78+Q78*VLOOKUP(G78,Paramétrage!$D$6:$F$27,3,0))=TRUE,S78,R78+Q78*VLOOKUP(G78,Paramétrage!$D$6:$F$27,3,0)))</f>
        <v>0</v>
      </c>
      <c r="U78" s="495"/>
      <c r="V78" s="346"/>
      <c r="W78" s="346"/>
      <c r="X78" s="346"/>
      <c r="Y78" s="503">
        <f t="shared" si="17"/>
        <v>0</v>
      </c>
      <c r="Z78" s="636"/>
      <c r="AA78" s="636"/>
      <c r="AB78" s="637"/>
      <c r="AC78" s="16" t="e">
        <f>VLOOKUP(D78,Paramétrage!$K$6:$L$12,2,0)</f>
        <v>#N/A</v>
      </c>
      <c r="AD78" s="27">
        <f t="shared" si="13"/>
        <v>0</v>
      </c>
      <c r="AE78" s="16">
        <f t="shared" si="19"/>
        <v>0</v>
      </c>
    </row>
    <row r="79" spans="1:31" hidden="1" x14ac:dyDescent="0.25">
      <c r="A79" s="672"/>
      <c r="B79" s="46"/>
      <c r="C79" s="28"/>
      <c r="D79" s="28"/>
      <c r="E79" s="44"/>
      <c r="F79" s="29"/>
      <c r="G79" s="30"/>
      <c r="H79" s="30"/>
      <c r="I79" s="30"/>
      <c r="J79" s="549"/>
      <c r="K79" s="547"/>
      <c r="L79" s="636"/>
      <c r="M79" s="636"/>
      <c r="N79" s="636"/>
      <c r="O79" s="637"/>
      <c r="P79" s="332">
        <f>IF(OR(J79="",G79=Paramétrage!$D$9,G79=Paramétrage!$D$12,G79=Paramétrage!$D$15,G79=Paramétrage!$D$18,G79=Paramétrage!$D$22,G79=Paramétrage!$D$25,AND(G79&lt;&gt;Paramétrage!$D$9,K79="Mut+ext")),0,ROUNDUP(I79/J79,0))</f>
        <v>0</v>
      </c>
      <c r="Q79" s="17">
        <f>IF(OR(G79="",K79="Mut+ext"),0,IF(VLOOKUP(G79,Paramétrage!$D$6:$F$27,3,0)=0,0,IF(J79="","saisir capacité",H79*P79*VLOOKUP(G79,Paramétrage!$D$6:$F$27,2,0))))</f>
        <v>0</v>
      </c>
      <c r="R79" s="32"/>
      <c r="S79" s="15">
        <f t="shared" si="18"/>
        <v>0</v>
      </c>
      <c r="T79" s="497">
        <f>IF(G79="",0,IF(ISERROR(R79+Q79*VLOOKUP(G79,Paramétrage!$D$6:$F$27,3,0))=TRUE,S79,R79+Q79*VLOOKUP(G79,Paramétrage!$D$6:$F$27,3,0)))</f>
        <v>0</v>
      </c>
      <c r="U79" s="495"/>
      <c r="V79" s="346"/>
      <c r="W79" s="346"/>
      <c r="X79" s="346"/>
      <c r="Y79" s="503">
        <f t="shared" si="17"/>
        <v>0</v>
      </c>
      <c r="Z79" s="636"/>
      <c r="AA79" s="636"/>
      <c r="AB79" s="637"/>
      <c r="AC79" s="16" t="e">
        <f>VLOOKUP(D79,Paramétrage!$K$6:$L$12,2,0)</f>
        <v>#N/A</v>
      </c>
      <c r="AD79" s="27">
        <f t="shared" si="13"/>
        <v>0</v>
      </c>
      <c r="AE79" s="16">
        <f t="shared" si="19"/>
        <v>0</v>
      </c>
    </row>
    <row r="80" spans="1:31" hidden="1" x14ac:dyDescent="0.25">
      <c r="A80" s="672"/>
      <c r="B80" s="46"/>
      <c r="C80" s="28"/>
      <c r="D80" s="31"/>
      <c r="E80" s="44"/>
      <c r="F80" s="29"/>
      <c r="G80" s="30"/>
      <c r="H80" s="30"/>
      <c r="I80" s="30"/>
      <c r="J80" s="549"/>
      <c r="K80" s="547"/>
      <c r="L80" s="636"/>
      <c r="M80" s="636"/>
      <c r="N80" s="636"/>
      <c r="O80" s="637"/>
      <c r="P80" s="332">
        <f>IF(OR(J80="",G80=Paramétrage!$D$9,G80=Paramétrage!$D$12,G80=Paramétrage!$D$15,G80=Paramétrage!$D$18,G80=Paramétrage!$D$22,G80=Paramétrage!$D$25,AND(G80&lt;&gt;Paramétrage!$D$9,K80="Mut+ext")),0,ROUNDUP(I80/J80,0))</f>
        <v>0</v>
      </c>
      <c r="Q80" s="17">
        <f>IF(OR(G80="",K80="Mut+ext"),0,IF(VLOOKUP(G80,Paramétrage!$D$6:$F$27,3,0)=0,0,IF(J80="","saisir capacité",H80*P80*VLOOKUP(G80,Paramétrage!$D$6:$F$27,2,0))))</f>
        <v>0</v>
      </c>
      <c r="R80" s="32"/>
      <c r="S80" s="15">
        <f t="shared" si="18"/>
        <v>0</v>
      </c>
      <c r="T80" s="497">
        <f>IF(G80="",0,IF(ISERROR(R80+Q80*VLOOKUP(G80,Paramétrage!$D$6:$F$27,3,0))=TRUE,S80,R80+Q80*VLOOKUP(G80,Paramétrage!$D$6:$F$27,3,0)))</f>
        <v>0</v>
      </c>
      <c r="U80" s="495"/>
      <c r="V80" s="346"/>
      <c r="W80" s="346"/>
      <c r="X80" s="346"/>
      <c r="Y80" s="503">
        <f t="shared" si="17"/>
        <v>0</v>
      </c>
      <c r="Z80" s="636"/>
      <c r="AA80" s="636"/>
      <c r="AB80" s="637"/>
      <c r="AC80" s="16" t="e">
        <f>VLOOKUP(D80,Paramétrage!$K$6:$L$12,2,0)</f>
        <v>#N/A</v>
      </c>
      <c r="AD80" s="27">
        <f t="shared" si="13"/>
        <v>0</v>
      </c>
      <c r="AE80" s="16">
        <f t="shared" si="19"/>
        <v>0</v>
      </c>
    </row>
    <row r="81" spans="1:31" hidden="1" x14ac:dyDescent="0.25">
      <c r="A81" s="672"/>
      <c r="B81" s="46"/>
      <c r="C81" s="28"/>
      <c r="D81" s="31"/>
      <c r="E81" s="44"/>
      <c r="F81" s="29"/>
      <c r="G81" s="30"/>
      <c r="H81" s="30"/>
      <c r="I81" s="30"/>
      <c r="J81" s="549"/>
      <c r="K81" s="547"/>
      <c r="L81" s="636"/>
      <c r="M81" s="636"/>
      <c r="N81" s="636"/>
      <c r="O81" s="637"/>
      <c r="P81" s="332">
        <f>IF(OR(J81="",G81=Paramétrage!$D$9,G81=Paramétrage!$D$12,G81=Paramétrage!$D$15,G81=Paramétrage!$D$18,G81=Paramétrage!$D$22,G81=Paramétrage!$D$25,AND(G81&lt;&gt;Paramétrage!$D$9,K81="Mut+ext")),0,ROUNDUP(I81/J81,0))</f>
        <v>0</v>
      </c>
      <c r="Q81" s="17">
        <f>IF(OR(G81="",K81="Mut+ext"),0,IF(VLOOKUP(G81,Paramétrage!$D$6:$F$27,3,0)=0,0,IF(J81="","saisir capacité",H81*P81*VLOOKUP(G81,Paramétrage!$D$6:$F$27,2,0))))</f>
        <v>0</v>
      </c>
      <c r="R81" s="32"/>
      <c r="S81" s="15">
        <f t="shared" si="18"/>
        <v>0</v>
      </c>
      <c r="T81" s="497">
        <f>IF(G81="",0,IF(ISERROR(R81+Q81*VLOOKUP(G81,Paramétrage!$D$6:$F$27,3,0))=TRUE,S81,R81+Q81*VLOOKUP(G81,Paramétrage!$D$6:$F$27,3,0)))</f>
        <v>0</v>
      </c>
      <c r="U81" s="495"/>
      <c r="V81" s="346"/>
      <c r="W81" s="346"/>
      <c r="X81" s="346"/>
      <c r="Y81" s="503">
        <f t="shared" si="17"/>
        <v>0</v>
      </c>
      <c r="Z81" s="636"/>
      <c r="AA81" s="636"/>
      <c r="AB81" s="637"/>
      <c r="AC81" s="16" t="e">
        <f>VLOOKUP(D81,Paramétrage!$K$6:$L$12,2,0)</f>
        <v>#N/A</v>
      </c>
      <c r="AD81" s="27">
        <f t="shared" si="13"/>
        <v>0</v>
      </c>
      <c r="AE81" s="16">
        <f t="shared" si="19"/>
        <v>0</v>
      </c>
    </row>
    <row r="82" spans="1:31" hidden="1" x14ac:dyDescent="0.25">
      <c r="A82" s="672"/>
      <c r="B82" s="46"/>
      <c r="C82" s="28"/>
      <c r="D82" s="31"/>
      <c r="E82" s="44"/>
      <c r="F82" s="29"/>
      <c r="G82" s="30"/>
      <c r="H82" s="30"/>
      <c r="I82" s="30"/>
      <c r="J82" s="549"/>
      <c r="K82" s="547"/>
      <c r="L82" s="636"/>
      <c r="M82" s="636"/>
      <c r="N82" s="636"/>
      <c r="O82" s="637"/>
      <c r="P82" s="332">
        <f>IF(OR(J82="",G82=Paramétrage!$D$9,G82=Paramétrage!$D$12,G82=Paramétrage!$D$15,G82=Paramétrage!$D$18,G82=Paramétrage!$D$22,G82=Paramétrage!$D$25,AND(G82&lt;&gt;Paramétrage!$D$9,K82="Mut+ext")),0,ROUNDUP(I82/J82,0))</f>
        <v>0</v>
      </c>
      <c r="Q82" s="17">
        <f>IF(OR(G82="",K82="Mut+ext"),0,IF(VLOOKUP(G82,Paramétrage!$D$6:$F$27,3,0)=0,0,IF(J82="","saisir capacité",H82*P82*VLOOKUP(G82,Paramétrage!$D$6:$F$27,2,0))))</f>
        <v>0</v>
      </c>
      <c r="R82" s="32"/>
      <c r="S82" s="15">
        <f t="shared" si="18"/>
        <v>0</v>
      </c>
      <c r="T82" s="497">
        <f>IF(G82="",0,IF(ISERROR(R82+Q82*VLOOKUP(G82,Paramétrage!$D$6:$F$27,3,0))=TRUE,S82,R82+Q82*VLOOKUP(G82,Paramétrage!$D$6:$F$27,3,0)))</f>
        <v>0</v>
      </c>
      <c r="U82" s="495"/>
      <c r="V82" s="346"/>
      <c r="W82" s="346"/>
      <c r="X82" s="346"/>
      <c r="Y82" s="503">
        <f t="shared" si="17"/>
        <v>0</v>
      </c>
      <c r="Z82" s="636"/>
      <c r="AA82" s="636"/>
      <c r="AB82" s="637"/>
      <c r="AC82" s="16" t="e">
        <f>VLOOKUP(D82,Paramétrage!$K$6:$L$12,2,0)</f>
        <v>#N/A</v>
      </c>
      <c r="AD82" s="27">
        <f t="shared" si="13"/>
        <v>0</v>
      </c>
      <c r="AE82" s="16">
        <f t="shared" si="19"/>
        <v>0</v>
      </c>
    </row>
    <row r="83" spans="1:31" hidden="1" x14ac:dyDescent="0.25">
      <c r="A83" s="672"/>
      <c r="B83" s="46"/>
      <c r="C83" s="28"/>
      <c r="D83" s="31"/>
      <c r="E83" s="44"/>
      <c r="F83" s="29"/>
      <c r="G83" s="30"/>
      <c r="H83" s="30"/>
      <c r="I83" s="30"/>
      <c r="J83" s="549"/>
      <c r="K83" s="547"/>
      <c r="L83" s="636"/>
      <c r="M83" s="636"/>
      <c r="N83" s="636"/>
      <c r="O83" s="637"/>
      <c r="P83" s="332">
        <f>IF(OR(J83="",G83=Paramétrage!$D$9,G83=Paramétrage!$D$12,G83=Paramétrage!$D$15,G83=Paramétrage!$D$18,G83=Paramétrage!$D$22,G83=Paramétrage!$D$25,AND(G83&lt;&gt;Paramétrage!$D$9,K83="Mut+ext")),0,ROUNDUP(I83/J83,0))</f>
        <v>0</v>
      </c>
      <c r="Q83" s="17">
        <f>IF(OR(G83="",K83="Mut+ext"),0,IF(VLOOKUP(G83,Paramétrage!$D$6:$F$27,3,0)=0,0,IF(J83="","saisir capacité",H83*P83*VLOOKUP(G83,Paramétrage!$D$6:$F$27,2,0))))</f>
        <v>0</v>
      </c>
      <c r="R83" s="32"/>
      <c r="S83" s="15">
        <f t="shared" si="18"/>
        <v>0</v>
      </c>
      <c r="T83" s="497">
        <f>IF(G83="",0,IF(ISERROR(R83+Q83*VLOOKUP(G83,Paramétrage!$D$6:$F$27,3,0))=TRUE,S83,R83+Q83*VLOOKUP(G83,Paramétrage!$D$6:$F$27,3,0)))</f>
        <v>0</v>
      </c>
      <c r="U83" s="495"/>
      <c r="V83" s="346"/>
      <c r="W83" s="346"/>
      <c r="X83" s="346"/>
      <c r="Y83" s="503">
        <f t="shared" si="17"/>
        <v>0</v>
      </c>
      <c r="Z83" s="636"/>
      <c r="AA83" s="636"/>
      <c r="AB83" s="637"/>
      <c r="AC83" s="16" t="e">
        <f>VLOOKUP(D83,Paramétrage!$K$6:$L$12,2,0)</f>
        <v>#N/A</v>
      </c>
      <c r="AD83" s="27">
        <f t="shared" si="13"/>
        <v>0</v>
      </c>
      <c r="AE83" s="16">
        <f t="shared" si="19"/>
        <v>0</v>
      </c>
    </row>
    <row r="84" spans="1:31" hidden="1" x14ac:dyDescent="0.25">
      <c r="A84" s="672"/>
      <c r="B84" s="46"/>
      <c r="C84" s="28"/>
      <c r="D84" s="31"/>
      <c r="E84" s="44"/>
      <c r="F84" s="29"/>
      <c r="G84" s="30"/>
      <c r="H84" s="30"/>
      <c r="I84" s="30"/>
      <c r="J84" s="549"/>
      <c r="K84" s="547"/>
      <c r="L84" s="636"/>
      <c r="M84" s="636"/>
      <c r="N84" s="636"/>
      <c r="O84" s="637"/>
      <c r="P84" s="332">
        <f>IF(OR(J84="",G84=Paramétrage!$D$9,G84=Paramétrage!$D$12,G84=Paramétrage!$D$15,G84=Paramétrage!$D$18,G84=Paramétrage!$D$22,G84=Paramétrage!$D$25,AND(G84&lt;&gt;Paramétrage!$D$9,K84="Mut+ext")),0,ROUNDUP(I84/J84,0))</f>
        <v>0</v>
      </c>
      <c r="Q84" s="17">
        <f>IF(OR(G84="",K84="Mut+ext"),0,IF(VLOOKUP(G84,Paramétrage!$D$6:$F$27,3,0)=0,0,IF(J84="","saisir capacité",H84*P84*VLOOKUP(G84,Paramétrage!$D$6:$F$27,2,0))))</f>
        <v>0</v>
      </c>
      <c r="R84" s="32"/>
      <c r="S84" s="15">
        <f t="shared" si="18"/>
        <v>0</v>
      </c>
      <c r="T84" s="497">
        <f>IF(G84="",0,IF(ISERROR(R84+Q84*VLOOKUP(G84,Paramétrage!$D$6:$F$27,3,0))=TRUE,S84,R84+Q84*VLOOKUP(G84,Paramétrage!$D$6:$F$27,3,0)))</f>
        <v>0</v>
      </c>
      <c r="U84" s="495"/>
      <c r="V84" s="346"/>
      <c r="W84" s="346"/>
      <c r="X84" s="346"/>
      <c r="Y84" s="503">
        <f t="shared" si="17"/>
        <v>0</v>
      </c>
      <c r="Z84" s="636"/>
      <c r="AA84" s="636"/>
      <c r="AB84" s="637"/>
      <c r="AC84" s="16" t="e">
        <f>VLOOKUP(D84,Paramétrage!$K$6:$L$12,2,0)</f>
        <v>#N/A</v>
      </c>
      <c r="AD84" s="27">
        <f t="shared" si="13"/>
        <v>0</v>
      </c>
      <c r="AE84" s="16">
        <f t="shared" si="19"/>
        <v>0</v>
      </c>
    </row>
    <row r="85" spans="1:31" hidden="1" x14ac:dyDescent="0.25">
      <c r="A85" s="672"/>
      <c r="B85" s="46"/>
      <c r="C85" s="28"/>
      <c r="D85" s="31"/>
      <c r="E85" s="44"/>
      <c r="F85" s="29"/>
      <c r="G85" s="30"/>
      <c r="H85" s="30"/>
      <c r="I85" s="30"/>
      <c r="J85" s="549"/>
      <c r="K85" s="547"/>
      <c r="L85" s="636"/>
      <c r="M85" s="636"/>
      <c r="N85" s="636"/>
      <c r="O85" s="637"/>
      <c r="P85" s="332">
        <f>IF(OR(J85="",G85=Paramétrage!$D$9,G85=Paramétrage!$D$12,G85=Paramétrage!$D$15,G85=Paramétrage!$D$18,G85=Paramétrage!$D$22,G85=Paramétrage!$D$25,AND(G85&lt;&gt;Paramétrage!$D$9,K85="Mut+ext")),0,ROUNDUP(I85/J85,0))</f>
        <v>0</v>
      </c>
      <c r="Q85" s="17">
        <f>IF(OR(G85="",K85="Mut+ext"),0,IF(VLOOKUP(G85,Paramétrage!$D$6:$F$27,3,0)=0,0,IF(J85="","saisir capacité",H85*P85*VLOOKUP(G85,Paramétrage!$D$6:$F$27,2,0))))</f>
        <v>0</v>
      </c>
      <c r="R85" s="32"/>
      <c r="S85" s="15">
        <f t="shared" si="18"/>
        <v>0</v>
      </c>
      <c r="T85" s="497">
        <f>IF(G85="",0,IF(ISERROR(R85+Q85*VLOOKUP(G85,Paramétrage!$D$6:$F$27,3,0))=TRUE,S85,R85+Q85*VLOOKUP(G85,Paramétrage!$D$6:$F$27,3,0)))</f>
        <v>0</v>
      </c>
      <c r="U85" s="495"/>
      <c r="V85" s="346"/>
      <c r="W85" s="346"/>
      <c r="X85" s="346"/>
      <c r="Y85" s="503">
        <f t="shared" si="17"/>
        <v>0</v>
      </c>
      <c r="Z85" s="636"/>
      <c r="AA85" s="636"/>
      <c r="AB85" s="637"/>
      <c r="AC85" s="16" t="e">
        <f>VLOOKUP(D85,Paramétrage!$K$6:$L$12,2,0)</f>
        <v>#N/A</v>
      </c>
      <c r="AD85" s="27">
        <f t="shared" si="13"/>
        <v>0</v>
      </c>
      <c r="AE85" s="16">
        <f t="shared" si="19"/>
        <v>0</v>
      </c>
    </row>
    <row r="86" spans="1:31" hidden="1" x14ac:dyDescent="0.25">
      <c r="A86" s="672"/>
      <c r="B86" s="46"/>
      <c r="C86" s="28"/>
      <c r="D86" s="31"/>
      <c r="E86" s="44"/>
      <c r="F86" s="29"/>
      <c r="G86" s="30"/>
      <c r="H86" s="30"/>
      <c r="I86" s="30"/>
      <c r="J86" s="549"/>
      <c r="K86" s="547"/>
      <c r="L86" s="636"/>
      <c r="M86" s="636"/>
      <c r="N86" s="636"/>
      <c r="O86" s="637"/>
      <c r="P86" s="332">
        <f>IF(OR(J86="",G86=Paramétrage!$D$9,G86=Paramétrage!$D$12,G86=Paramétrage!$D$15,G86=Paramétrage!$D$18,G86=Paramétrage!$D$22,G86=Paramétrage!$D$25,AND(G86&lt;&gt;Paramétrage!$D$9,K86="Mut+ext")),0,ROUNDUP(I86/J86,0))</f>
        <v>0</v>
      </c>
      <c r="Q86" s="17">
        <f>IF(OR(G86="",K86="Mut+ext"),0,IF(VLOOKUP(G86,Paramétrage!$D$6:$F$27,3,0)=0,0,IF(J86="","saisir capacité",H86*P86*VLOOKUP(G86,Paramétrage!$D$6:$F$27,2,0))))</f>
        <v>0</v>
      </c>
      <c r="R86" s="32"/>
      <c r="S86" s="15">
        <f t="shared" si="18"/>
        <v>0</v>
      </c>
      <c r="T86" s="497">
        <f>IF(G86="",0,IF(ISERROR(R86+Q86*VLOOKUP(G86,Paramétrage!$D$6:$F$27,3,0))=TRUE,S86,R86+Q86*VLOOKUP(G86,Paramétrage!$D$6:$F$27,3,0)))</f>
        <v>0</v>
      </c>
      <c r="U86" s="495"/>
      <c r="V86" s="346"/>
      <c r="W86" s="346"/>
      <c r="X86" s="346"/>
      <c r="Y86" s="503">
        <f t="shared" si="17"/>
        <v>0</v>
      </c>
      <c r="Z86" s="636"/>
      <c r="AA86" s="636"/>
      <c r="AB86" s="637"/>
      <c r="AC86" s="16" t="e">
        <f>VLOOKUP(D86,Paramétrage!$K$6:$L$12,2,0)</f>
        <v>#N/A</v>
      </c>
      <c r="AD86" s="27">
        <f t="shared" si="13"/>
        <v>0</v>
      </c>
      <c r="AE86" s="16">
        <f>H86*I86</f>
        <v>0</v>
      </c>
    </row>
    <row r="87" spans="1:31" hidden="1" x14ac:dyDescent="0.25">
      <c r="A87" s="672"/>
      <c r="B87" s="46"/>
      <c r="C87" s="28"/>
      <c r="D87" s="31"/>
      <c r="E87" s="44"/>
      <c r="F87" s="29"/>
      <c r="G87" s="30"/>
      <c r="H87" s="30"/>
      <c r="I87" s="30"/>
      <c r="J87" s="549"/>
      <c r="K87" s="547"/>
      <c r="L87" s="636"/>
      <c r="M87" s="636"/>
      <c r="N87" s="636"/>
      <c r="O87" s="637"/>
      <c r="P87" s="332">
        <f>IF(OR(J87="",G87=Paramétrage!$D$9,G87=Paramétrage!$D$12,G87=Paramétrage!$D$15,G87=Paramétrage!$D$18,G87=Paramétrage!$D$22,G87=Paramétrage!$D$25,AND(G87&lt;&gt;Paramétrage!$D$9,K87="Mut+ext")),0,ROUNDUP(I87/J87,0))</f>
        <v>0</v>
      </c>
      <c r="Q87" s="17">
        <f>IF(OR(G87="",K87="Mut+ext"),0,IF(VLOOKUP(G87,Paramétrage!$D$6:$F$27,3,0)=0,0,IF(J87="","saisir capacité",H87*P87*VLOOKUP(G87,Paramétrage!$D$6:$F$27,2,0))))</f>
        <v>0</v>
      </c>
      <c r="R87" s="32"/>
      <c r="S87" s="15">
        <f t="shared" si="18"/>
        <v>0</v>
      </c>
      <c r="T87" s="497">
        <f>IF(G87="",0,IF(ISERROR(R87+Q87*VLOOKUP(G87,Paramétrage!$D$6:$F$27,3,0))=TRUE,S87,R87+Q87*VLOOKUP(G87,Paramétrage!$D$6:$F$27,3,0)))</f>
        <v>0</v>
      </c>
      <c r="U87" s="495"/>
      <c r="V87" s="346"/>
      <c r="W87" s="346"/>
      <c r="X87" s="346"/>
      <c r="Y87" s="503">
        <f t="shared" si="17"/>
        <v>0</v>
      </c>
      <c r="Z87" s="636"/>
      <c r="AA87" s="636"/>
      <c r="AB87" s="637"/>
      <c r="AC87" s="16" t="e">
        <f>VLOOKUP(D87,Paramétrage!$K$6:$L$12,2,0)</f>
        <v>#N/A</v>
      </c>
      <c r="AD87" s="27">
        <f t="shared" si="13"/>
        <v>0</v>
      </c>
      <c r="AE87" s="16">
        <f>H87*I87</f>
        <v>0</v>
      </c>
    </row>
    <row r="88" spans="1:31" hidden="1" x14ac:dyDescent="0.25">
      <c r="A88" s="672"/>
      <c r="B88" s="46"/>
      <c r="C88" s="28"/>
      <c r="D88" s="31"/>
      <c r="E88" s="44"/>
      <c r="F88" s="29"/>
      <c r="G88" s="30"/>
      <c r="H88" s="30"/>
      <c r="I88" s="30"/>
      <c r="J88" s="549"/>
      <c r="K88" s="547"/>
      <c r="L88" s="636"/>
      <c r="M88" s="636"/>
      <c r="N88" s="636"/>
      <c r="O88" s="637"/>
      <c r="P88" s="332">
        <f>IF(OR(J88="",G88=Paramétrage!$D$9,G88=Paramétrage!$D$12,G88=Paramétrage!$D$15,G88=Paramétrage!$D$18,G88=Paramétrage!$D$22,G88=Paramétrage!$D$25,AND(G88&lt;&gt;Paramétrage!$D$9,K88="Mut+ext")),0,ROUNDUP(I88/J88,0))</f>
        <v>0</v>
      </c>
      <c r="Q88" s="17">
        <f>IF(OR(G88="",K88="Mut+ext"),0,IF(VLOOKUP(G88,Paramétrage!$D$6:$F$27,3,0)=0,0,IF(J88="","saisir capacité",H88*P88*VLOOKUP(G88,Paramétrage!$D$6:$F$27,2,0))))</f>
        <v>0</v>
      </c>
      <c r="R88" s="32"/>
      <c r="S88" s="15">
        <f t="shared" si="18"/>
        <v>0</v>
      </c>
      <c r="T88" s="497">
        <f>IF(G88="",0,IF(ISERROR(R88+Q88*VLOOKUP(G88,Paramétrage!$D$6:$F$27,3,0))=TRUE,S88,R88+Q88*VLOOKUP(G88,Paramétrage!$D$6:$F$27,3,0)))</f>
        <v>0</v>
      </c>
      <c r="U88" s="495"/>
      <c r="V88" s="346"/>
      <c r="W88" s="346"/>
      <c r="X88" s="346"/>
      <c r="Y88" s="503">
        <f t="shared" si="17"/>
        <v>0</v>
      </c>
      <c r="Z88" s="636"/>
      <c r="AA88" s="636"/>
      <c r="AB88" s="637"/>
      <c r="AC88" s="16" t="e">
        <f>VLOOKUP(D88,Paramétrage!$K$6:$L$12,2,0)</f>
        <v>#N/A</v>
      </c>
      <c r="AD88" s="27">
        <f t="shared" si="13"/>
        <v>0</v>
      </c>
      <c r="AE88" s="16">
        <f>H88*I88</f>
        <v>0</v>
      </c>
    </row>
    <row r="89" spans="1:31" hidden="1" x14ac:dyDescent="0.25">
      <c r="A89" s="672"/>
      <c r="B89" s="46"/>
      <c r="C89" s="28"/>
      <c r="D89" s="28"/>
      <c r="E89" s="44"/>
      <c r="F89" s="29"/>
      <c r="G89" s="30"/>
      <c r="H89" s="36"/>
      <c r="I89" s="35"/>
      <c r="J89" s="548"/>
      <c r="K89" s="546"/>
      <c r="L89" s="636"/>
      <c r="M89" s="636"/>
      <c r="N89" s="636"/>
      <c r="O89" s="637"/>
      <c r="P89" s="332">
        <f>IF(OR(J89="",G89=Paramétrage!$D$9,G89=Paramétrage!$D$12,G89=Paramétrage!$D$15,G89=Paramétrage!$D$18,G89=Paramétrage!$D$22,G89=Paramétrage!$D$25,AND(G89&lt;&gt;Paramétrage!$D$9,K89="Mut+ext")),0,ROUNDUP(I89/J89,0))</f>
        <v>0</v>
      </c>
      <c r="Q89" s="17">
        <f>IF(OR(G89="",K89="Mut+ext"),0,IF(VLOOKUP(G89,Paramétrage!$D$6:$F$27,3,0)=0,0,IF(J89="","saisir capacité",H89*P89*VLOOKUP(G89,Paramétrage!$D$6:$F$27,2,0))))</f>
        <v>0</v>
      </c>
      <c r="R89" s="32"/>
      <c r="S89" s="15">
        <f t="shared" si="18"/>
        <v>0</v>
      </c>
      <c r="T89" s="497">
        <f>IF(G89="",0,IF(ISERROR(R89+Q89*VLOOKUP(G89,Paramétrage!$D$6:$F$27,3,0))=TRUE,S89,R89+Q89*VLOOKUP(G89,Paramétrage!$D$6:$F$27,3,0)))</f>
        <v>0</v>
      </c>
      <c r="U89" s="504"/>
      <c r="V89" s="346"/>
      <c r="W89" s="346"/>
      <c r="X89" s="346"/>
      <c r="Y89" s="503">
        <f t="shared" si="17"/>
        <v>0</v>
      </c>
      <c r="Z89" s="636"/>
      <c r="AA89" s="636"/>
      <c r="AB89" s="637"/>
      <c r="AC89" s="16" t="e">
        <f>VLOOKUP(D89,Paramétrage!$K$6:$L$12,2,0)</f>
        <v>#N/A</v>
      </c>
      <c r="AD89" s="27">
        <f t="shared" si="13"/>
        <v>0</v>
      </c>
      <c r="AE89" s="16">
        <f>H89*I89</f>
        <v>0</v>
      </c>
    </row>
    <row r="90" spans="1:31" ht="16.2" thickBot="1" x14ac:dyDescent="0.3">
      <c r="A90" s="673"/>
      <c r="B90" s="48"/>
      <c r="C90" s="19"/>
      <c r="D90" s="56"/>
      <c r="E90" s="19"/>
      <c r="F90" s="20"/>
      <c r="G90" s="18"/>
      <c r="H90" s="42">
        <f>AD90</f>
        <v>0</v>
      </c>
      <c r="I90" s="37"/>
      <c r="J90" s="41"/>
      <c r="K90" s="45"/>
      <c r="L90" s="52"/>
      <c r="M90" s="52"/>
      <c r="N90" s="52"/>
      <c r="O90" s="53"/>
      <c r="P90" s="350"/>
      <c r="Q90" s="351">
        <f>SUM(Q50:Q89)</f>
        <v>0</v>
      </c>
      <c r="R90" s="328">
        <f>SUM(R50:R89)</f>
        <v>0</v>
      </c>
      <c r="S90" s="352">
        <f>SUM(S50:S89)</f>
        <v>0</v>
      </c>
      <c r="T90" s="352">
        <f>SUM(T50:T89)</f>
        <v>0</v>
      </c>
      <c r="U90" s="350">
        <f t="shared" ref="U90" si="20">SUM(U50:U89)</f>
        <v>0</v>
      </c>
      <c r="V90" s="351">
        <f t="shared" ref="V90" si="21">SUM(V50:V89)</f>
        <v>0</v>
      </c>
      <c r="W90" s="351">
        <f t="shared" ref="W90" si="22">SUM(W50:W89)</f>
        <v>0</v>
      </c>
      <c r="X90" s="351">
        <f t="shared" ref="X90" si="23">SUM(X50:X89)</f>
        <v>0</v>
      </c>
      <c r="Y90" s="57">
        <f t="shared" ref="Y90" si="24">SUM(Y50:Y89)</f>
        <v>0</v>
      </c>
      <c r="Z90" s="499"/>
      <c r="AA90" s="54"/>
      <c r="AB90" s="335"/>
      <c r="AC90" s="26"/>
      <c r="AD90" s="55">
        <f>SUM(AD50:AD89)</f>
        <v>0</v>
      </c>
      <c r="AE90" s="26">
        <f>SUM(AE50:AE89)</f>
        <v>0</v>
      </c>
    </row>
    <row r="91" spans="1:31" ht="16.2" thickBot="1" x14ac:dyDescent="0.3">
      <c r="A91" s="370"/>
      <c r="B91" s="21"/>
      <c r="C91" s="21"/>
      <c r="D91" s="21"/>
      <c r="E91" s="21"/>
      <c r="F91" s="21"/>
      <c r="G91" s="22"/>
      <c r="H91" s="43">
        <f>ROUND(H49+H90,1)</f>
        <v>1236</v>
      </c>
      <c r="I91" s="23"/>
      <c r="J91" s="24"/>
      <c r="K91" s="23"/>
      <c r="L91" s="23"/>
      <c r="M91" s="23"/>
      <c r="N91" s="23"/>
      <c r="O91" s="34"/>
      <c r="P91" s="39"/>
      <c r="Q91" s="58">
        <f>Q49+Q90</f>
        <v>346</v>
      </c>
      <c r="R91" s="58">
        <f t="shared" ref="R91:T91" si="25">R49+R90</f>
        <v>54</v>
      </c>
      <c r="S91" s="58">
        <f t="shared" si="25"/>
        <v>400</v>
      </c>
      <c r="T91" s="58">
        <f t="shared" si="25"/>
        <v>439.5</v>
      </c>
    </row>
    <row r="92" spans="1:31" ht="18" customHeight="1" x14ac:dyDescent="0.25">
      <c r="M92" s="25"/>
    </row>
  </sheetData>
  <sheetProtection algorithmName="SHA-512" hashValue="ZLfGWiTIufydM/m5ndKIFXutxM8aQ6C3GAVAy8n65rroztFFY95ptdnk8MBJTTto0Hh/oZ8Fe/MA7cv+jmEtVw==" saltValue="s2iGFPZvheybvD0s+VlrsA==" spinCount="100000" sheet="1" formatCells="0" formatRows="0" autoFilter="0"/>
  <mergeCells count="176">
    <mergeCell ref="AE7:AE8"/>
    <mergeCell ref="L29:O29"/>
    <mergeCell ref="L43:O43"/>
    <mergeCell ref="L44:O44"/>
    <mergeCell ref="L45:O45"/>
    <mergeCell ref="L46:O46"/>
    <mergeCell ref="L47:O47"/>
    <mergeCell ref="L48:O48"/>
    <mergeCell ref="Z12:AB12"/>
    <mergeCell ref="Z25:AB25"/>
    <mergeCell ref="Z26:AB26"/>
    <mergeCell ref="Z27:AB27"/>
    <mergeCell ref="Z21:AB21"/>
    <mergeCell ref="Z22:AB22"/>
    <mergeCell ref="Z23:AB23"/>
    <mergeCell ref="Z24:AB24"/>
    <mergeCell ref="L9:O9"/>
    <mergeCell ref="L25:O25"/>
    <mergeCell ref="L12:O12"/>
    <mergeCell ref="Z33:AB33"/>
    <mergeCell ref="Z41:AB41"/>
    <mergeCell ref="Z42:AB42"/>
    <mergeCell ref="AD7:AD8"/>
    <mergeCell ref="AC7:AC8"/>
    <mergeCell ref="L75:O75"/>
    <mergeCell ref="L76:O76"/>
    <mergeCell ref="H7:H8"/>
    <mergeCell ref="A9:A49"/>
    <mergeCell ref="A50:A90"/>
    <mergeCell ref="L51:O51"/>
    <mergeCell ref="L64:O64"/>
    <mergeCell ref="L17:O17"/>
    <mergeCell ref="Z78:AB78"/>
    <mergeCell ref="L14:O14"/>
    <mergeCell ref="L18:O18"/>
    <mergeCell ref="L19:O19"/>
    <mergeCell ref="L20:O20"/>
    <mergeCell ref="L21:O21"/>
    <mergeCell ref="L22:O22"/>
    <mergeCell ref="L23:O23"/>
    <mergeCell ref="Z29:AB29"/>
    <mergeCell ref="Z30:AB30"/>
    <mergeCell ref="L72:O72"/>
    <mergeCell ref="L88:O88"/>
    <mergeCell ref="Z31:AB31"/>
    <mergeCell ref="Z39:AB39"/>
    <mergeCell ref="L77:O77"/>
    <mergeCell ref="L78:O78"/>
    <mergeCell ref="L79:O79"/>
    <mergeCell ref="L80:O80"/>
    <mergeCell ref="L81:O81"/>
    <mergeCell ref="L82:O82"/>
    <mergeCell ref="L83:O83"/>
    <mergeCell ref="B7:B8"/>
    <mergeCell ref="L70:O70"/>
    <mergeCell ref="K7:K8"/>
    <mergeCell ref="C7:C8"/>
    <mergeCell ref="E7:E8"/>
    <mergeCell ref="F7:F8"/>
    <mergeCell ref="L7:O8"/>
    <mergeCell ref="G7:G8"/>
    <mergeCell ref="I7:I8"/>
    <mergeCell ref="J7:J8"/>
    <mergeCell ref="L24:O24"/>
    <mergeCell ref="L13:O13"/>
    <mergeCell ref="D7:D8"/>
    <mergeCell ref="L15:O15"/>
    <mergeCell ref="L16:O16"/>
    <mergeCell ref="L11:O11"/>
    <mergeCell ref="L10:O10"/>
    <mergeCell ref="L69:O69"/>
    <mergeCell ref="L67:O67"/>
    <mergeCell ref="L50:O50"/>
    <mergeCell ref="L26:O26"/>
    <mergeCell ref="L27:O27"/>
    <mergeCell ref="L68:O68"/>
    <mergeCell ref="L65:O65"/>
    <mergeCell ref="L66:O66"/>
    <mergeCell ref="L28:O28"/>
    <mergeCell ref="L30:O30"/>
    <mergeCell ref="L31:O31"/>
    <mergeCell ref="L56:O56"/>
    <mergeCell ref="L41:O41"/>
    <mergeCell ref="L42:O42"/>
    <mergeCell ref="L52:O52"/>
    <mergeCell ref="L53:O53"/>
    <mergeCell ref="L54:O54"/>
    <mergeCell ref="L55:O55"/>
    <mergeCell ref="L32:O32"/>
    <mergeCell ref="L33:O33"/>
    <mergeCell ref="L34:O34"/>
    <mergeCell ref="L35:O35"/>
    <mergeCell ref="Z75:AB75"/>
    <mergeCell ref="Z7:AB8"/>
    <mergeCell ref="Z9:AB9"/>
    <mergeCell ref="Z10:AB10"/>
    <mergeCell ref="Z11:AB11"/>
    <mergeCell ref="Z13:AB13"/>
    <mergeCell ref="Z14:AB14"/>
    <mergeCell ref="Z18:AB18"/>
    <mergeCell ref="Z19:AB19"/>
    <mergeCell ref="Z20:AB20"/>
    <mergeCell ref="Z15:AB15"/>
    <mergeCell ref="Z16:AB16"/>
    <mergeCell ref="Z17:AB17"/>
    <mergeCell ref="Z32:AB32"/>
    <mergeCell ref="Z52:AB52"/>
    <mergeCell ref="Z53:AB53"/>
    <mergeCell ref="Z54:AB54"/>
    <mergeCell ref="Z55:AB55"/>
    <mergeCell ref="Z36:AB36"/>
    <mergeCell ref="Z37:AB37"/>
    <mergeCell ref="Z38:AB38"/>
    <mergeCell ref="Z34:AB34"/>
    <mergeCell ref="Z35:AB35"/>
    <mergeCell ref="Z28:AB28"/>
    <mergeCell ref="Z76:AB76"/>
    <mergeCell ref="Z77:AB77"/>
    <mergeCell ref="L36:O36"/>
    <mergeCell ref="L37:O37"/>
    <mergeCell ref="L38:O38"/>
    <mergeCell ref="L39:O39"/>
    <mergeCell ref="L40:O40"/>
    <mergeCell ref="Z79:AB79"/>
    <mergeCell ref="Z80:AB80"/>
    <mergeCell ref="L57:O57"/>
    <mergeCell ref="L58:O58"/>
    <mergeCell ref="L59:O59"/>
    <mergeCell ref="L60:O60"/>
    <mergeCell ref="L61:O61"/>
    <mergeCell ref="L62:O62"/>
    <mergeCell ref="L63:O63"/>
    <mergeCell ref="L73:O73"/>
    <mergeCell ref="Z73:AB73"/>
    <mergeCell ref="L74:O74"/>
    <mergeCell ref="Z74:AB74"/>
    <mergeCell ref="Z71:AB71"/>
    <mergeCell ref="Z72:AB72"/>
    <mergeCell ref="L71:O71"/>
    <mergeCell ref="Z56:AB56"/>
    <mergeCell ref="Z81:AB81"/>
    <mergeCell ref="Z82:AB82"/>
    <mergeCell ref="Z43:AB43"/>
    <mergeCell ref="Z44:AB44"/>
    <mergeCell ref="Z45:AB45"/>
    <mergeCell ref="Z46:AB46"/>
    <mergeCell ref="Z47:AB47"/>
    <mergeCell ref="Z48:AB48"/>
    <mergeCell ref="Z50:AB50"/>
    <mergeCell ref="Z51:AB51"/>
    <mergeCell ref="Z64:AB64"/>
    <mergeCell ref="Z65:AB65"/>
    <mergeCell ref="Z66:AB66"/>
    <mergeCell ref="Z67:AB67"/>
    <mergeCell ref="Z68:AB68"/>
    <mergeCell ref="Z69:AB69"/>
    <mergeCell ref="Z70:AB70"/>
    <mergeCell ref="Z57:AB57"/>
    <mergeCell ref="Z58:AB58"/>
    <mergeCell ref="Z59:AB59"/>
    <mergeCell ref="Z60:AB60"/>
    <mergeCell ref="Z61:AB61"/>
    <mergeCell ref="Z62:AB62"/>
    <mergeCell ref="Z63:AB63"/>
    <mergeCell ref="Z83:AB83"/>
    <mergeCell ref="L84:O84"/>
    <mergeCell ref="Z84:AB84"/>
    <mergeCell ref="Z85:AB85"/>
    <mergeCell ref="Z86:AB86"/>
    <mergeCell ref="Z87:AB87"/>
    <mergeCell ref="Z88:AB88"/>
    <mergeCell ref="Z89:AB89"/>
    <mergeCell ref="L86:O86"/>
    <mergeCell ref="L89:O89"/>
    <mergeCell ref="L85:O85"/>
    <mergeCell ref="L87:O87"/>
  </mergeCells>
  <conditionalFormatting sqref="F9:F89">
    <cfRule type="expression" dxfId="10" priority="9">
      <formula>E9="obligatoire"</formula>
    </cfRule>
  </conditionalFormatting>
  <conditionalFormatting sqref="K9:K89">
    <cfRule type="cellIs" dxfId="9" priority="2" operator="equal">
      <formula>"Mut+ext"</formula>
    </cfRule>
  </conditionalFormatting>
  <conditionalFormatting sqref="Y9:Y48">
    <cfRule type="cellIs" dxfId="8" priority="29" operator="notEqual">
      <formula>S9</formula>
    </cfRule>
  </conditionalFormatting>
  <conditionalFormatting sqref="Y50:Y89">
    <cfRule type="cellIs" dxfId="7" priority="35" operator="notEqual">
      <formula>S50</formula>
    </cfRule>
  </conditionalFormatting>
  <dataValidations count="4">
    <dataValidation type="list" allowBlank="1" showInputMessage="1" showErrorMessage="1" sqref="G49">
      <formula1>#REF!</formula1>
    </dataValidation>
    <dataValidation type="list" allowBlank="1" showInputMessage="1" showErrorMessage="1" sqref="F9:F89">
      <formula1>"1,2,3,4"</formula1>
    </dataValidation>
    <dataValidation type="list" allowBlank="1" showInputMessage="1" showErrorMessage="1" sqref="E9:E89">
      <formula1>"Obligatoire,Option"</formula1>
    </dataValidation>
    <dataValidation type="list" allowBlank="1" showInputMessage="1" showErrorMessage="1" sqref="K9:K48 K50:K89">
      <formula1>"Non,Mut,Mut+ext"</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Paramétrage!$D$6:$D$27</xm:f>
          </x14:formula1>
          <xm:sqref>G50:G89 G9:G48</xm:sqref>
        </x14:dataValidation>
        <x14:dataValidation type="list" allowBlank="1" showInputMessage="1" showErrorMessage="1">
          <x14:formula1>
            <xm:f>Paramétrage!$K$6:$K$12</xm:f>
          </x14:formula1>
          <xm:sqref>D50:D89 D9:D48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tabSelected="1" zoomScaleNormal="100" workbookViewId="0">
      <pane ySplit="12" topLeftCell="A16" activePane="bottomLeft" state="frozen"/>
      <selection pane="bottomLeft" activeCell="G25" sqref="G25"/>
    </sheetView>
  </sheetViews>
  <sheetFormatPr baseColWidth="10" defaultColWidth="11.44140625" defaultRowHeight="13.8" x14ac:dyDescent="0.25"/>
  <cols>
    <col min="1" max="1" width="3.109375" style="60" customWidth="1"/>
    <col min="2" max="2" width="12.6640625" style="60" customWidth="1"/>
    <col min="3" max="3" width="24" style="60" customWidth="1"/>
    <col min="4" max="6" width="11.44140625" style="60"/>
    <col min="7" max="7" width="11.44140625" style="60" customWidth="1"/>
    <col min="8" max="11" width="11.44140625" style="60"/>
    <col min="12" max="12" width="11.6640625" style="60" customWidth="1"/>
    <col min="13" max="13" width="11.44140625" style="60" customWidth="1"/>
    <col min="14" max="14" width="24.33203125" style="60" customWidth="1"/>
    <col min="15" max="15" width="9.6640625" style="60" customWidth="1"/>
    <col min="16" max="17" width="6.6640625" style="60" customWidth="1"/>
    <col min="18" max="16384" width="11.44140625" style="60"/>
  </cols>
  <sheetData>
    <row r="1" spans="1:18" ht="7.2" customHeight="1" thickBot="1" x14ac:dyDescent="0.3">
      <c r="H1" s="61"/>
      <c r="I1" s="62"/>
      <c r="J1" s="63"/>
      <c r="K1" s="61"/>
      <c r="L1" s="61"/>
    </row>
    <row r="2" spans="1:18" ht="28.2" customHeight="1" thickBot="1" x14ac:dyDescent="0.3">
      <c r="A2" s="64"/>
      <c r="B2" s="681" t="s">
        <v>56</v>
      </c>
      <c r="C2" s="682"/>
      <c r="D2" s="682"/>
      <c r="E2" s="682"/>
      <c r="F2" s="682"/>
      <c r="G2" s="682"/>
      <c r="H2" s="682"/>
      <c r="I2" s="682"/>
      <c r="J2" s="682"/>
      <c r="K2" s="682"/>
      <c r="L2" s="682"/>
      <c r="M2" s="683"/>
    </row>
    <row r="3" spans="1:18" ht="12.45" customHeight="1" x14ac:dyDescent="0.25">
      <c r="F3" s="61"/>
      <c r="G3" s="61"/>
      <c r="H3" s="61"/>
      <c r="I3" s="61"/>
      <c r="J3" s="63"/>
      <c r="K3" s="61"/>
      <c r="L3" s="61"/>
    </row>
    <row r="4" spans="1:18" ht="22.2" customHeight="1" x14ac:dyDescent="0.25">
      <c r="C4" s="65" t="s">
        <v>57</v>
      </c>
      <c r="D4" s="678" t="s">
        <v>58</v>
      </c>
      <c r="E4" s="680"/>
      <c r="G4" s="65" t="s">
        <v>59</v>
      </c>
      <c r="H4" s="678" t="s">
        <v>366</v>
      </c>
      <c r="I4" s="679"/>
      <c r="J4" s="679"/>
      <c r="K4" s="680"/>
    </row>
    <row r="5" spans="1:18" ht="22.2" customHeight="1" x14ac:dyDescent="0.25">
      <c r="C5" s="65" t="s">
        <v>272</v>
      </c>
      <c r="D5" s="678" t="s">
        <v>110</v>
      </c>
      <c r="E5" s="680"/>
      <c r="G5" s="65" t="s">
        <v>271</v>
      </c>
      <c r="H5" s="678" t="s">
        <v>367</v>
      </c>
      <c r="I5" s="679"/>
      <c r="J5" s="679"/>
      <c r="K5" s="680"/>
    </row>
    <row r="6" spans="1:18" ht="22.2" customHeight="1" x14ac:dyDescent="0.25">
      <c r="C6" s="65" t="s">
        <v>60</v>
      </c>
      <c r="D6" s="684" t="s">
        <v>400</v>
      </c>
      <c r="E6" s="680"/>
      <c r="G6" s="65" t="s">
        <v>61</v>
      </c>
      <c r="H6" s="685" t="s">
        <v>401</v>
      </c>
      <c r="I6" s="679"/>
      <c r="J6" s="679"/>
      <c r="K6" s="680"/>
    </row>
    <row r="7" spans="1:18" ht="22.2" customHeight="1" x14ac:dyDescent="0.25">
      <c r="C7" s="676" t="s">
        <v>0</v>
      </c>
      <c r="D7" s="677"/>
      <c r="E7" s="67">
        <v>20</v>
      </c>
      <c r="G7" s="65" t="s">
        <v>62</v>
      </c>
      <c r="H7" s="678" t="s">
        <v>199</v>
      </c>
      <c r="I7" s="679"/>
      <c r="J7" s="679"/>
      <c r="K7" s="680"/>
      <c r="N7" s="68" t="s">
        <v>63</v>
      </c>
    </row>
    <row r="8" spans="1:18" ht="22.2" customHeight="1" x14ac:dyDescent="0.25">
      <c r="C8" s="676" t="s">
        <v>1</v>
      </c>
      <c r="D8" s="677"/>
      <c r="E8" s="67">
        <v>6</v>
      </c>
      <c r="G8" s="69" t="s">
        <v>64</v>
      </c>
      <c r="J8" s="70">
        <v>2024</v>
      </c>
      <c r="K8" s="70">
        <v>2025</v>
      </c>
    </row>
    <row r="9" spans="1:18" ht="18" customHeight="1" x14ac:dyDescent="0.25">
      <c r="E9" s="71"/>
      <c r="G9" s="72"/>
    </row>
    <row r="10" spans="1:18" ht="25.95" customHeight="1" x14ac:dyDescent="0.25">
      <c r="B10" s="688" t="s">
        <v>65</v>
      </c>
      <c r="C10" s="688"/>
      <c r="D10" s="688"/>
      <c r="E10" s="73">
        <f>'Budget détaillé'!J78</f>
        <v>-61036.4</v>
      </c>
      <c r="F10" s="689" t="s">
        <v>66</v>
      </c>
      <c r="G10" s="689"/>
      <c r="H10" s="696" t="s">
        <v>67</v>
      </c>
      <c r="I10" s="696"/>
      <c r="J10" s="696"/>
      <c r="K10" s="73">
        <f>'Recettes et simulat'!K28+'Recettes et simulat'!F39-'Budget détaillé'!K65</f>
        <v>824.40000000000146</v>
      </c>
    </row>
    <row r="11" spans="1:18" ht="22.2" customHeight="1" x14ac:dyDescent="0.25">
      <c r="B11" s="688" t="s">
        <v>68</v>
      </c>
      <c r="C11" s="688"/>
      <c r="D11" s="688"/>
      <c r="E11" s="73">
        <f>E10+K10</f>
        <v>-60212</v>
      </c>
      <c r="F11" s="689"/>
      <c r="G11" s="689"/>
      <c r="H11" s="696" t="s">
        <v>69</v>
      </c>
      <c r="I11" s="696"/>
      <c r="J11" s="696"/>
      <c r="K11" s="73">
        <f>'Budget détaillé'!K66</f>
        <v>6987.5999999999995</v>
      </c>
    </row>
    <row r="12" spans="1:18" ht="16.95" customHeight="1" thickBot="1" x14ac:dyDescent="0.3"/>
    <row r="13" spans="1:18" ht="18.45" customHeight="1" thickBot="1" x14ac:dyDescent="0.3">
      <c r="B13" s="693" t="s">
        <v>70</v>
      </c>
      <c r="C13" s="694"/>
      <c r="D13" s="694"/>
      <c r="E13" s="694"/>
      <c r="F13" s="694"/>
      <c r="G13" s="694"/>
      <c r="H13" s="694"/>
      <c r="I13" s="694"/>
      <c r="J13" s="694"/>
      <c r="K13" s="694"/>
      <c r="L13" s="694"/>
      <c r="M13" s="694"/>
      <c r="N13" s="695"/>
    </row>
    <row r="14" spans="1:18" ht="14.4" thickBot="1" x14ac:dyDescent="0.3"/>
    <row r="15" spans="1:18" ht="55.8" thickBot="1" x14ac:dyDescent="0.3">
      <c r="B15" s="74" t="s">
        <v>71</v>
      </c>
      <c r="C15" s="75" t="s">
        <v>72</v>
      </c>
      <c r="D15" s="75" t="s">
        <v>37</v>
      </c>
      <c r="E15" s="75" t="s">
        <v>73</v>
      </c>
      <c r="F15" s="75" t="s">
        <v>74</v>
      </c>
      <c r="G15" s="75" t="s">
        <v>75</v>
      </c>
      <c r="H15" s="75" t="s">
        <v>23</v>
      </c>
      <c r="I15" s="76" t="s">
        <v>76</v>
      </c>
      <c r="J15" s="75" t="s">
        <v>77</v>
      </c>
      <c r="K15" s="75" t="s">
        <v>78</v>
      </c>
      <c r="L15" s="75" t="s">
        <v>79</v>
      </c>
      <c r="M15" s="690" t="s">
        <v>80</v>
      </c>
      <c r="N15" s="683"/>
      <c r="P15" s="77" t="s">
        <v>81</v>
      </c>
      <c r="Q15" s="77">
        <v>250</v>
      </c>
      <c r="R15" s="77">
        <v>400</v>
      </c>
    </row>
    <row r="16" spans="1:18" ht="20.7" customHeight="1" thickBot="1" x14ac:dyDescent="0.3">
      <c r="B16" s="378" t="s">
        <v>82</v>
      </c>
      <c r="C16" s="183"/>
      <c r="D16" s="183"/>
      <c r="E16" s="78"/>
      <c r="F16" s="382">
        <f>IF(H4="master",243,IF(OR(H4="licence",H4="licence professionnelle",H4="Diplôme Universitaire Technologique")=TRUE,170,0))</f>
        <v>243</v>
      </c>
      <c r="G16" s="67">
        <f>E7-E8</f>
        <v>14</v>
      </c>
      <c r="H16" s="80">
        <f>F16*G16</f>
        <v>3402</v>
      </c>
      <c r="I16" s="81"/>
      <c r="J16" s="82"/>
      <c r="K16" s="82"/>
      <c r="L16" s="82"/>
      <c r="M16" s="82"/>
      <c r="N16" s="83"/>
      <c r="P16" s="77" t="s">
        <v>83</v>
      </c>
      <c r="Q16" s="77">
        <v>400</v>
      </c>
      <c r="R16" s="77"/>
    </row>
    <row r="17" spans="2:14" ht="21" customHeight="1" x14ac:dyDescent="0.25">
      <c r="B17" s="379" t="s">
        <v>84</v>
      </c>
      <c r="C17" s="380"/>
      <c r="D17" s="380"/>
      <c r="E17" s="380"/>
      <c r="F17" s="380"/>
      <c r="G17" s="380"/>
      <c r="H17" s="380"/>
      <c r="I17" s="380"/>
      <c r="J17" s="380"/>
      <c r="K17" s="380"/>
      <c r="L17" s="380"/>
      <c r="M17" s="380"/>
      <c r="N17" s="381"/>
    </row>
    <row r="18" spans="2:14" x14ac:dyDescent="0.25">
      <c r="B18" s="84" t="s">
        <v>85</v>
      </c>
      <c r="C18" s="85" t="s">
        <v>83</v>
      </c>
      <c r="D18" s="384">
        <v>428</v>
      </c>
      <c r="E18" s="79">
        <v>7500</v>
      </c>
      <c r="F18" s="383"/>
      <c r="G18" s="67">
        <v>6</v>
      </c>
      <c r="H18" s="80">
        <f>(E18+F18)*G18</f>
        <v>45000</v>
      </c>
      <c r="I18" s="80">
        <f t="shared" ref="I18:I27" si="0">IF(D18=0,0,E18/D18)</f>
        <v>17.523364485981308</v>
      </c>
      <c r="J18" s="86">
        <v>0.05</v>
      </c>
      <c r="K18" s="80">
        <f>(E18*G18)*(1-J18)+F18*G18</f>
        <v>42750</v>
      </c>
      <c r="L18" s="80">
        <f t="shared" ref="L18:L27" si="1">IF((D18*G18)=0,0,K18/(D18*G18))</f>
        <v>16.647196261682243</v>
      </c>
      <c r="M18" s="691"/>
      <c r="N18" s="692"/>
    </row>
    <row r="19" spans="2:14" x14ac:dyDescent="0.25">
      <c r="B19" s="84" t="s">
        <v>86</v>
      </c>
      <c r="C19" s="85"/>
      <c r="D19" s="384"/>
      <c r="E19" s="79"/>
      <c r="F19" s="79"/>
      <c r="G19" s="67"/>
      <c r="H19" s="80">
        <f t="shared" ref="H19:H27" si="2">(E19+F19)*G19</f>
        <v>0</v>
      </c>
      <c r="I19" s="80">
        <f t="shared" si="0"/>
        <v>0</v>
      </c>
      <c r="J19" s="86"/>
      <c r="K19" s="80">
        <f t="shared" ref="K19:K27" si="3">(E19*G19)*(1-J19)+F19*G19</f>
        <v>0</v>
      </c>
      <c r="L19" s="80">
        <f t="shared" si="1"/>
        <v>0</v>
      </c>
      <c r="M19" s="686"/>
      <c r="N19" s="687"/>
    </row>
    <row r="20" spans="2:14" x14ac:dyDescent="0.25">
      <c r="B20" s="84" t="s">
        <v>87</v>
      </c>
      <c r="C20" s="85"/>
      <c r="D20" s="384"/>
      <c r="E20" s="79"/>
      <c r="F20" s="79"/>
      <c r="G20" s="67"/>
      <c r="H20" s="80">
        <f t="shared" si="2"/>
        <v>0</v>
      </c>
      <c r="I20" s="80">
        <f t="shared" si="0"/>
        <v>0</v>
      </c>
      <c r="J20" s="86"/>
      <c r="K20" s="80">
        <f t="shared" si="3"/>
        <v>0</v>
      </c>
      <c r="L20" s="80">
        <f t="shared" si="1"/>
        <v>0</v>
      </c>
      <c r="M20" s="686"/>
      <c r="N20" s="687"/>
    </row>
    <row r="21" spans="2:14" x14ac:dyDescent="0.25">
      <c r="B21" s="84" t="s">
        <v>88</v>
      </c>
      <c r="C21" s="85"/>
      <c r="D21" s="384"/>
      <c r="E21" s="79"/>
      <c r="F21" s="79"/>
      <c r="G21" s="67"/>
      <c r="H21" s="80">
        <f t="shared" si="2"/>
        <v>0</v>
      </c>
      <c r="I21" s="80">
        <f t="shared" si="0"/>
        <v>0</v>
      </c>
      <c r="J21" s="86"/>
      <c r="K21" s="80">
        <f t="shared" si="3"/>
        <v>0</v>
      </c>
      <c r="L21" s="80">
        <f t="shared" si="1"/>
        <v>0</v>
      </c>
      <c r="M21" s="686"/>
      <c r="N21" s="687"/>
    </row>
    <row r="22" spans="2:14" x14ac:dyDescent="0.25">
      <c r="B22" s="84" t="s">
        <v>89</v>
      </c>
      <c r="C22" s="85"/>
      <c r="D22" s="384"/>
      <c r="E22" s="79"/>
      <c r="F22" s="79"/>
      <c r="G22" s="67"/>
      <c r="H22" s="80">
        <f t="shared" si="2"/>
        <v>0</v>
      </c>
      <c r="I22" s="80">
        <f t="shared" si="0"/>
        <v>0</v>
      </c>
      <c r="J22" s="86"/>
      <c r="K22" s="80">
        <f t="shared" si="3"/>
        <v>0</v>
      </c>
      <c r="L22" s="80">
        <f t="shared" si="1"/>
        <v>0</v>
      </c>
      <c r="M22" s="686"/>
      <c r="N22" s="687"/>
    </row>
    <row r="23" spans="2:14" x14ac:dyDescent="0.25">
      <c r="B23" s="84" t="s">
        <v>90</v>
      </c>
      <c r="C23" s="85"/>
      <c r="D23" s="67"/>
      <c r="E23" s="79"/>
      <c r="F23" s="79"/>
      <c r="G23" s="67"/>
      <c r="H23" s="80">
        <f t="shared" si="2"/>
        <v>0</v>
      </c>
      <c r="I23" s="80">
        <f t="shared" si="0"/>
        <v>0</v>
      </c>
      <c r="J23" s="86"/>
      <c r="K23" s="80">
        <f t="shared" si="3"/>
        <v>0</v>
      </c>
      <c r="L23" s="80">
        <f t="shared" si="1"/>
        <v>0</v>
      </c>
      <c r="M23" s="691"/>
      <c r="N23" s="692"/>
    </row>
    <row r="24" spans="2:14" x14ac:dyDescent="0.25">
      <c r="B24" s="84" t="s">
        <v>91</v>
      </c>
      <c r="C24" s="85"/>
      <c r="D24" s="67"/>
      <c r="E24" s="79"/>
      <c r="F24" s="79"/>
      <c r="G24" s="67"/>
      <c r="H24" s="80">
        <f t="shared" si="2"/>
        <v>0</v>
      </c>
      <c r="I24" s="80">
        <f t="shared" si="0"/>
        <v>0</v>
      </c>
      <c r="J24" s="86"/>
      <c r="K24" s="80">
        <f t="shared" si="3"/>
        <v>0</v>
      </c>
      <c r="L24" s="80">
        <f t="shared" si="1"/>
        <v>0</v>
      </c>
      <c r="M24" s="691"/>
      <c r="N24" s="692"/>
    </row>
    <row r="25" spans="2:14" x14ac:dyDescent="0.25">
      <c r="B25" s="84" t="s">
        <v>92</v>
      </c>
      <c r="C25" s="85"/>
      <c r="D25" s="67"/>
      <c r="E25" s="79"/>
      <c r="F25" s="79"/>
      <c r="G25" s="67"/>
      <c r="H25" s="80">
        <f t="shared" si="2"/>
        <v>0</v>
      </c>
      <c r="I25" s="80">
        <f t="shared" si="0"/>
        <v>0</v>
      </c>
      <c r="J25" s="86"/>
      <c r="K25" s="80">
        <f t="shared" si="3"/>
        <v>0</v>
      </c>
      <c r="L25" s="80">
        <f t="shared" si="1"/>
        <v>0</v>
      </c>
      <c r="M25" s="686"/>
      <c r="N25" s="687"/>
    </row>
    <row r="26" spans="2:14" x14ac:dyDescent="0.25">
      <c r="B26" s="84" t="s">
        <v>93</v>
      </c>
      <c r="C26" s="85"/>
      <c r="D26" s="67"/>
      <c r="E26" s="79"/>
      <c r="F26" s="79"/>
      <c r="G26" s="67"/>
      <c r="H26" s="80">
        <f t="shared" si="2"/>
        <v>0</v>
      </c>
      <c r="I26" s="80">
        <f t="shared" si="0"/>
        <v>0</v>
      </c>
      <c r="J26" s="86"/>
      <c r="K26" s="80">
        <f t="shared" si="3"/>
        <v>0</v>
      </c>
      <c r="L26" s="80">
        <f t="shared" si="1"/>
        <v>0</v>
      </c>
      <c r="M26" s="691"/>
      <c r="N26" s="692"/>
    </row>
    <row r="27" spans="2:14" x14ac:dyDescent="0.25">
      <c r="B27" s="87" t="s">
        <v>94</v>
      </c>
      <c r="C27" s="88"/>
      <c r="D27" s="67"/>
      <c r="E27" s="89"/>
      <c r="F27" s="79"/>
      <c r="G27" s="67"/>
      <c r="H27" s="80">
        <f t="shared" si="2"/>
        <v>0</v>
      </c>
      <c r="I27" s="80">
        <f t="shared" si="0"/>
        <v>0</v>
      </c>
      <c r="J27" s="86"/>
      <c r="K27" s="80">
        <f t="shared" si="3"/>
        <v>0</v>
      </c>
      <c r="L27" s="80">
        <f t="shared" si="1"/>
        <v>0</v>
      </c>
      <c r="M27" s="691"/>
      <c r="N27" s="692"/>
    </row>
    <row r="28" spans="2:14" ht="14.4" thickBot="1" x14ac:dyDescent="0.3">
      <c r="B28" s="702" t="s">
        <v>95</v>
      </c>
      <c r="C28" s="703"/>
      <c r="D28" s="385">
        <f>IF(G28=0,0,SUMPRODUCT(D18:D27,G18:G27)/G28)</f>
        <v>428</v>
      </c>
      <c r="E28" s="91"/>
      <c r="F28" s="90"/>
      <c r="G28" s="90">
        <f>SUM(G18:G27)</f>
        <v>6</v>
      </c>
      <c r="H28" s="92">
        <f>SUM(H18:H27)</f>
        <v>45000</v>
      </c>
      <c r="I28" s="93">
        <f>IF(SUMPRODUCT(G18:G27,D18:D27)=0,0,H28/SUMPRODUCT(G18:G27,D18:D27))</f>
        <v>17.523364485981308</v>
      </c>
      <c r="J28" s="90"/>
      <c r="K28" s="92">
        <f>SUM(K18:K27)</f>
        <v>42750</v>
      </c>
      <c r="L28" s="92">
        <f>IF(D28=0,0,IF(SUMPRODUCT(G18:G27,D18:D27)=0,0,K28/SUMPRODUCT(G18:G27,D18:D27)))</f>
        <v>16.647196261682243</v>
      </c>
      <c r="M28" s="704"/>
      <c r="N28" s="705"/>
    </row>
    <row r="29" spans="2:14" x14ac:dyDescent="0.25">
      <c r="B29" s="69"/>
      <c r="C29" s="69"/>
      <c r="D29" s="66"/>
      <c r="E29" s="72"/>
      <c r="F29" s="66"/>
      <c r="G29" s="94"/>
      <c r="H29" s="94"/>
      <c r="I29" s="72"/>
      <c r="J29" s="94"/>
      <c r="K29" s="94"/>
      <c r="L29" s="94"/>
      <c r="M29" s="72"/>
    </row>
    <row r="30" spans="2:14" ht="14.4" thickBot="1" x14ac:dyDescent="0.3"/>
    <row r="31" spans="2:14" ht="18.45" customHeight="1" thickBot="1" x14ac:dyDescent="0.3">
      <c r="B31" s="693" t="s">
        <v>331</v>
      </c>
      <c r="C31" s="694"/>
      <c r="D31" s="694"/>
      <c r="E31" s="694"/>
      <c r="F31" s="694"/>
      <c r="G31" s="694"/>
      <c r="H31" s="694"/>
      <c r="I31" s="694"/>
      <c r="J31" s="694"/>
      <c r="K31" s="694"/>
      <c r="L31" s="694"/>
      <c r="M31" s="694"/>
      <c r="N31" s="695"/>
    </row>
    <row r="32" spans="2:14" ht="14.4" thickBot="1" x14ac:dyDescent="0.3"/>
    <row r="33" spans="2:13" ht="21" customHeight="1" x14ac:dyDescent="0.25">
      <c r="B33" s="697" t="s">
        <v>332</v>
      </c>
      <c r="C33" s="698"/>
      <c r="D33" s="699"/>
      <c r="E33" s="95" t="s">
        <v>96</v>
      </c>
      <c r="F33" s="95" t="s">
        <v>97</v>
      </c>
      <c r="G33" s="700" t="s">
        <v>98</v>
      </c>
      <c r="H33" s="698"/>
      <c r="I33" s="698"/>
      <c r="J33" s="698"/>
      <c r="K33" s="701"/>
    </row>
    <row r="34" spans="2:13" x14ac:dyDescent="0.25">
      <c r="B34" s="706"/>
      <c r="C34" s="707"/>
      <c r="D34" s="707"/>
      <c r="E34" s="85"/>
      <c r="F34" s="79"/>
      <c r="G34" s="708"/>
      <c r="H34" s="708"/>
      <c r="I34" s="708"/>
      <c r="J34" s="708"/>
      <c r="K34" s="709"/>
    </row>
    <row r="35" spans="2:13" x14ac:dyDescent="0.25">
      <c r="B35" s="710"/>
      <c r="C35" s="711"/>
      <c r="D35" s="711"/>
      <c r="E35" s="85"/>
      <c r="F35" s="79"/>
      <c r="G35" s="708"/>
      <c r="H35" s="708"/>
      <c r="I35" s="708"/>
      <c r="J35" s="708"/>
      <c r="K35" s="709"/>
    </row>
    <row r="36" spans="2:13" x14ac:dyDescent="0.25">
      <c r="B36" s="706"/>
      <c r="C36" s="707"/>
      <c r="D36" s="707"/>
      <c r="E36" s="85"/>
      <c r="F36" s="79"/>
      <c r="G36" s="708"/>
      <c r="H36" s="708"/>
      <c r="I36" s="708"/>
      <c r="J36" s="708"/>
      <c r="K36" s="709"/>
    </row>
    <row r="37" spans="2:13" x14ac:dyDescent="0.25">
      <c r="B37" s="712"/>
      <c r="C37" s="713"/>
      <c r="D37" s="713"/>
      <c r="E37" s="85"/>
      <c r="F37" s="79"/>
      <c r="G37" s="708"/>
      <c r="H37" s="708"/>
      <c r="I37" s="708"/>
      <c r="J37" s="708"/>
      <c r="K37" s="709"/>
    </row>
    <row r="38" spans="2:13" x14ac:dyDescent="0.25">
      <c r="B38" s="712"/>
      <c r="C38" s="713"/>
      <c r="D38" s="713"/>
      <c r="E38" s="85"/>
      <c r="F38" s="79"/>
      <c r="G38" s="708"/>
      <c r="H38" s="708"/>
      <c r="I38" s="708"/>
      <c r="J38" s="708"/>
      <c r="K38" s="709"/>
    </row>
    <row r="39" spans="2:13" ht="14.4" thickBot="1" x14ac:dyDescent="0.3">
      <c r="B39" s="714" t="s">
        <v>333</v>
      </c>
      <c r="C39" s="715"/>
      <c r="D39" s="715"/>
      <c r="E39" s="715"/>
      <c r="F39" s="96">
        <f>SUM(F34:F38)</f>
        <v>0</v>
      </c>
      <c r="G39" s="716"/>
      <c r="H39" s="717"/>
      <c r="I39" s="717"/>
      <c r="J39" s="717"/>
      <c r="K39" s="718"/>
      <c r="L39" s="72"/>
      <c r="M39" s="72"/>
    </row>
    <row r="40" spans="2:13" x14ac:dyDescent="0.25">
      <c r="F40" s="61"/>
    </row>
    <row r="41" spans="2:13" ht="32.700000000000003" customHeight="1" x14ac:dyDescent="0.25"/>
  </sheetData>
  <sheetProtection algorithmName="SHA-512" hashValue="3jS6rJuFFF9ChZ8Fv2g7ntrJ6oybwUZw1N8/y/dVbBLX/rxf4hpYiHXY8RpECj8we5MsTUEmmH6euNtGLtFUiQ==" saltValue="qv+EZU4CWNYKJ7BPqWCQYw==" spinCount="100000" sheet="1" formatCells="0" formatColumns="0" formatRows="0" autoFilter="0"/>
  <mergeCells count="44">
    <mergeCell ref="B37:D37"/>
    <mergeCell ref="G37:K37"/>
    <mergeCell ref="B38:D38"/>
    <mergeCell ref="G38:K38"/>
    <mergeCell ref="B39:E39"/>
    <mergeCell ref="G39:K39"/>
    <mergeCell ref="B34:D34"/>
    <mergeCell ref="G34:K34"/>
    <mergeCell ref="B35:D35"/>
    <mergeCell ref="G35:K35"/>
    <mergeCell ref="B36:D36"/>
    <mergeCell ref="G36:K36"/>
    <mergeCell ref="B33:D33"/>
    <mergeCell ref="G33:K33"/>
    <mergeCell ref="M20:N20"/>
    <mergeCell ref="M21:N21"/>
    <mergeCell ref="M22:N22"/>
    <mergeCell ref="M23:N23"/>
    <mergeCell ref="M24:N24"/>
    <mergeCell ref="M25:N25"/>
    <mergeCell ref="M26:N26"/>
    <mergeCell ref="M27:N27"/>
    <mergeCell ref="B28:C28"/>
    <mergeCell ref="M28:N28"/>
    <mergeCell ref="B31:N31"/>
    <mergeCell ref="M19:N19"/>
    <mergeCell ref="C8:D8"/>
    <mergeCell ref="B10:D10"/>
    <mergeCell ref="F10:G11"/>
    <mergeCell ref="B11:D11"/>
    <mergeCell ref="M15:N15"/>
    <mergeCell ref="M18:N18"/>
    <mergeCell ref="B13:N13"/>
    <mergeCell ref="H10:J10"/>
    <mergeCell ref="H11:J11"/>
    <mergeCell ref="C7:D7"/>
    <mergeCell ref="H7:K7"/>
    <mergeCell ref="B2:M2"/>
    <mergeCell ref="D4:E4"/>
    <mergeCell ref="H4:K4"/>
    <mergeCell ref="D6:E6"/>
    <mergeCell ref="H6:K6"/>
    <mergeCell ref="D5:E5"/>
    <mergeCell ref="H5:K5"/>
  </mergeCells>
  <conditionalFormatting sqref="D18:D27">
    <cfRule type="expression" dxfId="6" priority="13" stopIfTrue="1">
      <formula>AND(C18=$P$15,D18&gt;$R$15)</formula>
    </cfRule>
    <cfRule type="expression" dxfId="5" priority="14" stopIfTrue="1">
      <formula>AND(C18=$P$15,D18&lt;$Q$15)</formula>
    </cfRule>
    <cfRule type="expression" dxfId="4" priority="12" stopIfTrue="1">
      <formula>AND(C18=$P$16,D18&lt;$Q$16)</formula>
    </cfRule>
  </conditionalFormatting>
  <conditionalFormatting sqref="E10:E11">
    <cfRule type="cellIs" dxfId="3" priority="10" operator="lessThan">
      <formula>0</formula>
    </cfRule>
    <cfRule type="cellIs" dxfId="2" priority="11" operator="greaterThan">
      <formula>0</formula>
    </cfRule>
  </conditionalFormatting>
  <conditionalFormatting sqref="K10">
    <cfRule type="cellIs" dxfId="1" priority="17" operator="lessThan">
      <formula>0</formula>
    </cfRule>
    <cfRule type="cellIs" dxfId="0" priority="18" operator="greaterThan">
      <formula>0</formula>
    </cfRule>
  </conditionalFormatting>
  <dataValidations count="5">
    <dataValidation type="list" allowBlank="1" showInputMessage="1" showErrorMessage="1" sqref="C18:C27">
      <formula1>"Formation continue,Contrat d'apprentissage,Contrat de professionnalisation"</formula1>
    </dataValidation>
    <dataValidation type="list" allowBlank="1" showInputMessage="1" showErrorMessage="1" sqref="H4:K4">
      <formula1>"Licence Professionnelle,Licence,Master,Diplôme Universitaire Technologique,Diplôme Universitaire,Formation courte"</formula1>
    </dataValidation>
    <dataValidation type="list" allowBlank="1" showInputMessage="1" showErrorMessage="1" sqref="E34:E38">
      <formula1>"Région, Ministère,partenaire"</formula1>
    </dataValidation>
    <dataValidation type="list" allowBlank="1" showInputMessage="1" showErrorMessage="1" sqref="D5:E5">
      <formula1>"Lyon 2,Externe"</formula1>
    </dataValidation>
    <dataValidation type="list" allowBlank="1" showInputMessage="1" showErrorMessage="1" sqref="H5:K5">
      <formula1>"oui,non"</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Paramétrage!$I$6:$I$17</xm:f>
          </x14:formula1>
          <xm:sqref>H7:K7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84242"/>
    <pageSetUpPr fitToPage="1"/>
  </sheetPr>
  <dimension ref="A1:X78"/>
  <sheetViews>
    <sheetView showGridLines="0" showZeros="0" zoomScale="85" zoomScaleNormal="85" zoomScaleSheetLayoutView="70" workbookViewId="0">
      <pane ySplit="9" topLeftCell="A34" activePane="bottomLeft" state="frozen"/>
      <selection pane="bottomLeft" activeCell="U45" sqref="U45"/>
    </sheetView>
  </sheetViews>
  <sheetFormatPr baseColWidth="10" defaultColWidth="11.44140625" defaultRowHeight="13.2" outlineLevelCol="1" x14ac:dyDescent="0.25"/>
  <cols>
    <col min="1" max="1" width="1.33203125" customWidth="1"/>
    <col min="2" max="2" width="5.6640625" customWidth="1"/>
    <col min="3" max="3" width="14.6640625" customWidth="1"/>
    <col min="4" max="4" width="16.44140625" customWidth="1"/>
    <col min="5" max="5" width="14.6640625" customWidth="1"/>
    <col min="6" max="6" width="7.77734375" customWidth="1"/>
    <col min="7" max="7" width="11.77734375" customWidth="1"/>
    <col min="8" max="11" width="11" customWidth="1"/>
    <col min="12" max="16" width="11" hidden="1" customWidth="1" outlineLevel="1"/>
    <col min="17" max="17" width="9.33203125" customWidth="1" collapsed="1"/>
    <col min="18" max="18" width="6.6640625" customWidth="1"/>
    <col min="19" max="19" width="6.6640625" bestFit="1" customWidth="1"/>
    <col min="20" max="20" width="11.33203125" bestFit="1" customWidth="1"/>
    <col min="21" max="21" width="24.44140625" bestFit="1" customWidth="1"/>
  </cols>
  <sheetData>
    <row r="1" spans="1:22" ht="7.2" customHeight="1" thickBot="1" x14ac:dyDescent="0.3">
      <c r="A1" s="64"/>
      <c r="B1" s="64"/>
      <c r="C1" s="64"/>
      <c r="D1" s="64"/>
      <c r="E1" s="64"/>
      <c r="F1" s="64"/>
      <c r="G1" s="64"/>
      <c r="H1" s="97"/>
      <c r="I1" s="98"/>
      <c r="J1" s="99"/>
      <c r="K1" s="97"/>
      <c r="L1" s="97"/>
      <c r="M1" s="97"/>
      <c r="N1" s="97"/>
      <c r="O1" s="97"/>
      <c r="P1" s="97"/>
      <c r="Q1" s="60"/>
      <c r="R1" s="60"/>
      <c r="S1" s="64"/>
      <c r="T1" s="64"/>
      <c r="U1" s="64"/>
      <c r="V1" s="64"/>
    </row>
    <row r="2" spans="1:22" ht="28.2" customHeight="1" thickBot="1" x14ac:dyDescent="0.3">
      <c r="A2" s="64"/>
      <c r="B2" s="681" t="s">
        <v>99</v>
      </c>
      <c r="C2" s="682"/>
      <c r="D2" s="682"/>
      <c r="E2" s="682"/>
      <c r="F2" s="682"/>
      <c r="G2" s="682"/>
      <c r="H2" s="682"/>
      <c r="I2" s="682"/>
      <c r="J2" s="682"/>
      <c r="K2" s="683"/>
      <c r="L2" s="681" t="s">
        <v>100</v>
      </c>
      <c r="M2" s="682"/>
      <c r="N2" s="682"/>
      <c r="O2" s="682"/>
      <c r="P2" s="683"/>
      <c r="Q2" s="60"/>
      <c r="R2" s="60"/>
      <c r="S2" s="64"/>
      <c r="T2" s="64"/>
      <c r="U2" s="64"/>
      <c r="V2" s="64"/>
    </row>
    <row r="3" spans="1:22" ht="15" customHeight="1" x14ac:dyDescent="0.25">
      <c r="A3" s="64"/>
      <c r="B3" s="100"/>
      <c r="C3" s="100"/>
      <c r="D3" s="100"/>
      <c r="E3" s="100"/>
      <c r="F3" s="100"/>
      <c r="G3" s="100"/>
      <c r="H3" s="100"/>
      <c r="I3" s="100"/>
      <c r="J3" s="100"/>
      <c r="K3" s="100"/>
      <c r="L3" s="100"/>
      <c r="M3" s="100"/>
      <c r="N3" s="100"/>
      <c r="O3" s="100"/>
      <c r="P3" s="100"/>
      <c r="Q3" s="60"/>
      <c r="R3" s="60"/>
      <c r="S3" s="64"/>
      <c r="T3" s="64"/>
      <c r="U3" s="64"/>
      <c r="V3" s="64"/>
    </row>
    <row r="4" spans="1:22" ht="22.2" customHeight="1" x14ac:dyDescent="0.25">
      <c r="A4" s="64"/>
      <c r="B4" s="64"/>
      <c r="C4" s="101" t="s">
        <v>57</v>
      </c>
      <c r="D4" s="719" t="str">
        <f>'Recettes et simulat'!D4</f>
        <v>Université Lumière Lyon 2</v>
      </c>
      <c r="E4" s="720"/>
      <c r="F4" s="64"/>
      <c r="G4" s="101" t="s">
        <v>59</v>
      </c>
      <c r="H4" s="719" t="str">
        <f>'Recettes et simulat'!H4</f>
        <v>Master</v>
      </c>
      <c r="I4" s="721"/>
      <c r="J4" s="721"/>
      <c r="K4" s="720"/>
      <c r="L4" s="97"/>
      <c r="M4" s="97"/>
      <c r="N4" s="97"/>
      <c r="O4" s="97"/>
      <c r="P4" s="97"/>
      <c r="Q4" s="60"/>
      <c r="R4" s="60"/>
      <c r="S4" s="64"/>
      <c r="T4" s="64"/>
      <c r="U4" s="68" t="s">
        <v>63</v>
      </c>
      <c r="V4" s="64"/>
    </row>
    <row r="5" spans="1:22" ht="22.2" customHeight="1" x14ac:dyDescent="0.25">
      <c r="A5" s="64"/>
      <c r="B5" s="64"/>
      <c r="C5" s="101" t="s">
        <v>272</v>
      </c>
      <c r="D5" s="719" t="str">
        <f>'Recettes et simulat'!D5</f>
        <v>Lyon 2</v>
      </c>
      <c r="E5" s="720"/>
      <c r="F5" s="64"/>
      <c r="G5" s="65" t="s">
        <v>271</v>
      </c>
      <c r="H5" s="719" t="str">
        <f>'Recettes et simulat'!H5</f>
        <v>non</v>
      </c>
      <c r="I5" s="721"/>
      <c r="J5" s="721"/>
      <c r="K5" s="720"/>
      <c r="L5" s="97"/>
      <c r="M5" s="97"/>
      <c r="N5" s="97"/>
      <c r="O5" s="97"/>
      <c r="P5" s="97"/>
      <c r="Q5" s="60"/>
      <c r="R5" s="60"/>
      <c r="S5" s="64"/>
      <c r="T5" s="64"/>
      <c r="U5" s="64"/>
      <c r="V5" s="64"/>
    </row>
    <row r="6" spans="1:22" ht="22.2" customHeight="1" x14ac:dyDescent="0.25">
      <c r="A6" s="64"/>
      <c r="B6" s="64"/>
      <c r="C6" s="101" t="s">
        <v>60</v>
      </c>
      <c r="D6" s="719" t="str">
        <f>'Recettes et simulat'!D6</f>
        <v>RNCP34127</v>
      </c>
      <c r="E6" s="720"/>
      <c r="F6" s="64"/>
      <c r="G6" s="101" t="s">
        <v>61</v>
      </c>
      <c r="H6" s="719" t="str">
        <f>'Recettes et simulat'!H6</f>
        <v>Droit des Affaires_
Droit de la propriété intellectuelle - créations artistiques et esthétiques</v>
      </c>
      <c r="I6" s="721"/>
      <c r="J6" s="721"/>
      <c r="K6" s="720"/>
      <c r="L6" s="97"/>
      <c r="M6" s="97"/>
      <c r="N6" s="97"/>
      <c r="O6" s="97"/>
      <c r="P6" s="97"/>
      <c r="Q6" s="60"/>
      <c r="R6" s="60"/>
      <c r="S6" s="64"/>
      <c r="T6" s="64"/>
      <c r="U6" s="64"/>
      <c r="V6" s="64"/>
    </row>
    <row r="7" spans="1:22" ht="22.2" customHeight="1" x14ac:dyDescent="0.25">
      <c r="A7" s="64"/>
      <c r="B7" s="64"/>
      <c r="C7" s="102" t="s">
        <v>0</v>
      </c>
      <c r="D7" s="103"/>
      <c r="E7" s="104">
        <f>'Recettes et simulat'!E7</f>
        <v>20</v>
      </c>
      <c r="F7" s="64"/>
      <c r="G7" s="101" t="s">
        <v>62</v>
      </c>
      <c r="H7" s="719" t="str">
        <f>'Recettes et simulat'!H7</f>
        <v>FJVD - Faculté de Droit Julie-Victoire Daubié</v>
      </c>
      <c r="I7" s="721"/>
      <c r="J7" s="721"/>
      <c r="K7" s="720"/>
      <c r="L7" s="97"/>
      <c r="M7" s="97"/>
      <c r="N7" s="97"/>
      <c r="O7" s="97"/>
      <c r="P7" s="97"/>
      <c r="Q7" s="60"/>
      <c r="R7" s="60"/>
      <c r="S7" s="64"/>
      <c r="T7" s="64"/>
      <c r="U7" s="64"/>
      <c r="V7" s="64"/>
    </row>
    <row r="8" spans="1:22" ht="22.2" customHeight="1" x14ac:dyDescent="0.25">
      <c r="A8" s="64"/>
      <c r="B8" s="64"/>
      <c r="C8" s="102" t="s">
        <v>1</v>
      </c>
      <c r="D8" s="103"/>
      <c r="E8" s="104">
        <f>'Recettes et simulat'!E8</f>
        <v>6</v>
      </c>
      <c r="F8" s="64"/>
      <c r="G8" s="69" t="s">
        <v>64</v>
      </c>
      <c r="H8" s="64"/>
      <c r="I8" s="64"/>
      <c r="J8" s="105">
        <f>'Recettes et simulat'!J8</f>
        <v>2024</v>
      </c>
      <c r="K8" s="105">
        <f>'Recettes et simulat'!K8</f>
        <v>2025</v>
      </c>
      <c r="L8" s="64"/>
      <c r="M8" s="64"/>
      <c r="N8" s="64"/>
      <c r="O8" s="64"/>
      <c r="P8" s="64"/>
      <c r="Q8" s="60"/>
      <c r="R8" s="60"/>
      <c r="S8" s="64"/>
      <c r="T8" s="64"/>
      <c r="U8" s="64"/>
      <c r="V8" s="64"/>
    </row>
    <row r="9" spans="1:22" ht="16.2" customHeight="1" thickBot="1" x14ac:dyDescent="0.3">
      <c r="A9" s="64"/>
      <c r="B9" s="64"/>
      <c r="C9" s="64"/>
      <c r="D9" s="64"/>
      <c r="E9" s="64"/>
      <c r="F9" s="64"/>
      <c r="G9" s="106"/>
      <c r="H9" s="64"/>
      <c r="I9" s="64"/>
      <c r="J9" s="64"/>
      <c r="K9" s="64"/>
      <c r="L9" s="64"/>
      <c r="M9" s="64"/>
      <c r="N9" s="64"/>
      <c r="O9" s="64"/>
      <c r="P9" s="64"/>
      <c r="Q9" s="60"/>
      <c r="R9" s="60"/>
      <c r="S9" s="64"/>
      <c r="T9" s="64"/>
      <c r="U9" s="107"/>
      <c r="V9" s="107"/>
    </row>
    <row r="10" spans="1:22" ht="24.45" customHeight="1" thickBot="1" x14ac:dyDescent="0.3">
      <c r="A10" s="64"/>
      <c r="B10" s="681" t="s">
        <v>102</v>
      </c>
      <c r="C10" s="682"/>
      <c r="D10" s="682"/>
      <c r="E10" s="682"/>
      <c r="F10" s="682"/>
      <c r="G10" s="682"/>
      <c r="H10" s="682"/>
      <c r="I10" s="682"/>
      <c r="J10" s="682"/>
      <c r="K10" s="683"/>
      <c r="L10" s="110"/>
      <c r="M10" s="111"/>
      <c r="N10" s="111"/>
      <c r="O10" s="111"/>
      <c r="P10" s="112"/>
      <c r="Q10" s="60"/>
      <c r="R10" s="60"/>
      <c r="S10" s="64"/>
      <c r="T10" s="60"/>
      <c r="U10" s="60"/>
      <c r="V10" s="60"/>
    </row>
    <row r="11" spans="1:22" s="60" customFormat="1" ht="12.45" customHeight="1" thickBot="1" x14ac:dyDescent="0.3">
      <c r="B11" s="113"/>
      <c r="C11" s="114"/>
      <c r="D11" s="114"/>
      <c r="E11" s="114"/>
      <c r="F11" s="114"/>
      <c r="G11" s="114"/>
      <c r="H11" s="114"/>
      <c r="I11" s="114"/>
      <c r="J11" s="114"/>
      <c r="K11" s="114"/>
      <c r="L11" s="114"/>
      <c r="M11" s="114"/>
      <c r="N11" s="114"/>
      <c r="O11" s="114"/>
      <c r="P11" s="115"/>
      <c r="V11" s="64"/>
    </row>
    <row r="12" spans="1:22" s="64" customFormat="1" ht="69.599999999999994" thickBot="1" x14ac:dyDescent="0.3">
      <c r="B12" s="116" t="s">
        <v>103</v>
      </c>
      <c r="C12" s="725" t="s">
        <v>104</v>
      </c>
      <c r="D12" s="726"/>
      <c r="E12" s="726"/>
      <c r="F12" s="727"/>
      <c r="G12" s="117" t="s">
        <v>105</v>
      </c>
      <c r="H12" s="118" t="s">
        <v>106</v>
      </c>
      <c r="I12" s="118" t="s">
        <v>107</v>
      </c>
      <c r="J12" s="119" t="s">
        <v>108</v>
      </c>
      <c r="K12" s="120" t="s">
        <v>109</v>
      </c>
      <c r="L12" s="121" t="s">
        <v>110</v>
      </c>
      <c r="M12" s="122" t="s">
        <v>111</v>
      </c>
      <c r="N12" s="122" t="s">
        <v>112</v>
      </c>
      <c r="O12" s="123" t="s">
        <v>113</v>
      </c>
      <c r="P12" s="124" t="s">
        <v>23</v>
      </c>
      <c r="Q12" s="125"/>
      <c r="R12" s="126"/>
      <c r="T12" s="60"/>
      <c r="U12" s="60"/>
      <c r="V12" s="108"/>
    </row>
    <row r="13" spans="1:22" s="108" customFormat="1" ht="21.45" customHeight="1" thickBot="1" x14ac:dyDescent="0.3">
      <c r="B13" s="127" t="s">
        <v>274</v>
      </c>
      <c r="C13" s="128"/>
      <c r="D13" s="129"/>
      <c r="E13" s="129"/>
      <c r="F13" s="129"/>
      <c r="G13" s="130">
        <f>G19+G26+G31</f>
        <v>459.5</v>
      </c>
      <c r="H13" s="131">
        <f>IF(G19+G26+G31=0,0,(I19+I26+I31)/(G19+G26+G31))</f>
        <v>133.56256800870511</v>
      </c>
      <c r="I13" s="132">
        <f t="shared" ref="I13:P13" si="0">I19+I31+I26</f>
        <v>61372</v>
      </c>
      <c r="J13" s="133">
        <f t="shared" si="0"/>
        <v>33146.400000000001</v>
      </c>
      <c r="K13" s="134">
        <f>K19+K31+K26</f>
        <v>28225.599999999999</v>
      </c>
      <c r="L13" s="135">
        <f t="shared" si="0"/>
        <v>0</v>
      </c>
      <c r="M13" s="131">
        <f t="shared" si="0"/>
        <v>0</v>
      </c>
      <c r="N13" s="132">
        <f t="shared" si="0"/>
        <v>0</v>
      </c>
      <c r="O13" s="131">
        <f t="shared" si="0"/>
        <v>0</v>
      </c>
      <c r="P13" s="134">
        <f t="shared" si="0"/>
        <v>0</v>
      </c>
      <c r="Q13" s="136">
        <f>IF($K$75=0,0,K13/$K$75)</f>
        <v>0.66024795321637419</v>
      </c>
      <c r="R13" s="137" t="s">
        <v>114</v>
      </c>
      <c r="S13" s="64"/>
      <c r="T13" s="60"/>
      <c r="U13" s="60"/>
      <c r="V13" s="64"/>
    </row>
    <row r="14" spans="1:22" s="64" customFormat="1" ht="16.95" customHeight="1" x14ac:dyDescent="0.25">
      <c r="B14" s="138" t="s">
        <v>115</v>
      </c>
      <c r="C14" s="139" t="s">
        <v>116</v>
      </c>
      <c r="D14" s="140"/>
      <c r="E14" s="140"/>
      <c r="F14" s="141"/>
      <c r="G14" s="142"/>
      <c r="H14" s="143"/>
      <c r="I14" s="142"/>
      <c r="J14" s="142"/>
      <c r="K14" s="144"/>
      <c r="L14" s="145"/>
      <c r="M14" s="143"/>
      <c r="N14" s="143"/>
      <c r="O14" s="143"/>
      <c r="P14" s="144"/>
      <c r="Q14" s="364"/>
      <c r="R14" s="154">
        <f>SUMIF(Enseignements!$G$9:$G$90,Paramétrage!$D$6,Enseignements!W$9:W$90)*Paramétrage!$G$6+SUMIF(Enseignements!$G$9:$G$90,Paramétrage!$D$7,Enseignements!W$9:W$90)*Paramétrage!$G$7+SUMIF(Enseignements!$G$9:$G$90,Paramétrage!$D$8,Enseignements!W$9:W$90)*Paramétrage!$G$8+SUMIF(Enseignements!$G$9:$G$90,Paramétrage!$D$9,Enseignements!W$9:W$90)*Paramétrage!$G$9+SUMIF(Enseignements!$G$9:$G$90,Paramétrage!$D$10,Enseignements!W$9:W$90)*Paramétrage!$G$10+SUMIF(Enseignements!$G$9:$G$90,Paramétrage!$D$11,Enseignements!W$9:W$90)*Paramétrage!$G$11+SUMIF(Enseignements!$G$9:$G$90,Paramétrage!$D$12,Enseignements!W$9:W$90)*Paramétrage!$G$12+SUMIF(Enseignements!$G$9:$G$90,Paramétrage!$D$13,Enseignements!W$9:W$90)*Paramétrage!$G$13+SUMIF(Enseignements!$G$9:$G$90,Paramétrage!$D$14,Enseignements!W$9:W$90)*Paramétrage!$G$14+SUMIF(Enseignements!$G$9:$G$90,Paramétrage!$D$15,Enseignements!W$9:W$90)*Paramétrage!$G$15+SUMIF(Enseignements!$G$9:$G$90,Paramétrage!$D$16,Enseignements!W$9:W$90)*Paramétrage!$G$16+SUMIF(Enseignements!$G$9:$G$90,Paramétrage!$D$17,Enseignements!W$9:W$90)*Paramétrage!$G$17+SUMIF(Enseignements!$G$9:$G$90,Paramétrage!$D$18,Enseignements!W$9:W$90)*Paramétrage!$G$18+SUMIF(Enseignements!$G$9:$G$90,Paramétrage!$D$19,Enseignements!W$9:W$90)*Paramétrage!$G$19+SUMIF(Enseignements!$G$9:$G$90,Paramétrage!$D$20,Enseignements!W$9:W$90)*Paramétrage!$G$20+SUMIF(Enseignements!$G$9:$G$90,Paramétrage!$D$21,Enseignements!W$9:W$90)*Paramétrage!$G$21+SUMIF(Enseignements!$G$9:$G$90,Paramétrage!$D$22,Enseignements!W$9:W$90)*Paramétrage!$G$22+SUMIF(Enseignements!$G$9:$G$90,Paramétrage!$D$23,Enseignements!W$9:W$90)*Paramétrage!$G$23+SUMIF(Enseignements!$G$9:$G$90,Paramétrage!$D$24,Enseignements!W$9:W$90)*Paramétrage!$G$24+SUMIF(Enseignements!$G$9:$G$90,Paramétrage!$D$25,Enseignements!W$9:W$90)*Paramétrage!$G$25+SUMIF(Enseignements!$G$9:$G$90,Paramétrage!$D$26,Enseignements!W$9:W$90)*Paramétrage!$G$26+SUMIF(Enseignements!$G$9:$G$90,Paramétrage!$D$27,Enseignements!W$9:W$90)*Paramétrage!$G$27</f>
        <v>239.5</v>
      </c>
      <c r="S14" s="77"/>
      <c r="T14" s="147"/>
      <c r="U14" s="77"/>
      <c r="V14" s="108"/>
    </row>
    <row r="15" spans="1:22" s="108" customFormat="1" ht="16.95" customHeight="1" x14ac:dyDescent="0.25">
      <c r="B15" s="148" t="s">
        <v>2</v>
      </c>
      <c r="C15" s="722" t="s">
        <v>3</v>
      </c>
      <c r="D15" s="723"/>
      <c r="E15" s="723"/>
      <c r="F15" s="724"/>
      <c r="G15" s="104">
        <f>'calcul heures'!G6</f>
        <v>155</v>
      </c>
      <c r="H15" s="149">
        <v>218</v>
      </c>
      <c r="I15" s="150">
        <f>H15*G15</f>
        <v>33790</v>
      </c>
      <c r="J15" s="150">
        <f>'calcul heures'!H6*H15</f>
        <v>21058.799999999999</v>
      </c>
      <c r="K15" s="151">
        <f>'calcul heures'!I6*H15</f>
        <v>12731.199999999999</v>
      </c>
      <c r="L15" s="152"/>
      <c r="M15" s="70"/>
      <c r="N15" s="70"/>
      <c r="O15" s="70"/>
      <c r="P15" s="153">
        <f>SUM(L15:O15)</f>
        <v>0</v>
      </c>
      <c r="Q15" s="154"/>
      <c r="R15" s="154"/>
      <c r="S15" s="154"/>
      <c r="T15" s="154"/>
      <c r="U15" s="154"/>
      <c r="V15" s="155"/>
    </row>
    <row r="16" spans="1:22" s="108" customFormat="1" ht="16.95" customHeight="1" x14ac:dyDescent="0.25">
      <c r="B16" s="148" t="s">
        <v>4</v>
      </c>
      <c r="C16" s="722" t="s">
        <v>5</v>
      </c>
      <c r="D16" s="723"/>
      <c r="E16" s="723"/>
      <c r="F16" s="724"/>
      <c r="G16" s="104">
        <f>'calcul heures'!G7</f>
        <v>0</v>
      </c>
      <c r="H16" s="149">
        <v>110</v>
      </c>
      <c r="I16" s="156">
        <f>H16*G16</f>
        <v>0</v>
      </c>
      <c r="J16" s="150">
        <f>'calcul heures'!H7*H16</f>
        <v>0</v>
      </c>
      <c r="K16" s="151">
        <f>'calcul heures'!I7*H16</f>
        <v>0</v>
      </c>
      <c r="L16" s="152"/>
      <c r="M16" s="70"/>
      <c r="N16" s="70"/>
      <c r="O16" s="70"/>
      <c r="P16" s="157">
        <f>SUM(L16:O16)</f>
        <v>0</v>
      </c>
      <c r="Q16" s="154"/>
      <c r="R16" s="154"/>
      <c r="S16" s="154"/>
    </row>
    <row r="17" spans="2:23" s="108" customFormat="1" ht="16.95" customHeight="1" x14ac:dyDescent="0.25">
      <c r="B17" s="148" t="s">
        <v>6</v>
      </c>
      <c r="C17" s="722" t="s">
        <v>7</v>
      </c>
      <c r="D17" s="723"/>
      <c r="E17" s="723"/>
      <c r="F17" s="724"/>
      <c r="G17" s="104">
        <f>'calcul heures'!G8</f>
        <v>230.5</v>
      </c>
      <c r="H17" s="149">
        <v>56</v>
      </c>
      <c r="I17" s="156">
        <f>H17*G17</f>
        <v>12908</v>
      </c>
      <c r="J17" s="150">
        <f>'calcul heures'!H8*H17</f>
        <v>9035.6</v>
      </c>
      <c r="K17" s="151">
        <f>'calcul heures'!I8*H17</f>
        <v>3872.4000000000005</v>
      </c>
      <c r="L17" s="152"/>
      <c r="M17" s="70"/>
      <c r="N17" s="70"/>
      <c r="O17" s="70"/>
      <c r="P17" s="157">
        <f>SUM(L17:O17)</f>
        <v>0</v>
      </c>
      <c r="Q17" s="154"/>
      <c r="R17" s="154"/>
      <c r="S17" s="365"/>
      <c r="T17" s="154"/>
      <c r="V17" s="155"/>
    </row>
    <row r="18" spans="2:23" s="108" customFormat="1" ht="18.45" customHeight="1" x14ac:dyDescent="0.25">
      <c r="B18" s="148" t="s">
        <v>8</v>
      </c>
      <c r="C18" s="722" t="s">
        <v>9</v>
      </c>
      <c r="D18" s="723"/>
      <c r="E18" s="723"/>
      <c r="F18" s="724"/>
      <c r="G18" s="104">
        <f>'calcul heures'!G9</f>
        <v>0</v>
      </c>
      <c r="H18" s="158"/>
      <c r="I18" s="156">
        <f>H18*G18</f>
        <v>0</v>
      </c>
      <c r="J18" s="150">
        <f>'calcul heures'!H9*H18</f>
        <v>0</v>
      </c>
      <c r="K18" s="151">
        <f>'calcul heures'!I9*H18</f>
        <v>0</v>
      </c>
      <c r="L18" s="152"/>
      <c r="M18" s="152"/>
      <c r="N18" s="159"/>
      <c r="O18" s="70"/>
      <c r="P18" s="157">
        <f>SUM(L18:O18)</f>
        <v>0</v>
      </c>
      <c r="Q18" s="173"/>
      <c r="R18" s="154"/>
      <c r="S18" s="154"/>
      <c r="T18" s="154"/>
      <c r="U18" s="154"/>
      <c r="V18" s="155"/>
    </row>
    <row r="19" spans="2:23" s="108" customFormat="1" ht="22.2" customHeight="1" thickBot="1" x14ac:dyDescent="0.3">
      <c r="B19" s="728" t="s">
        <v>10</v>
      </c>
      <c r="C19" s="729"/>
      <c r="D19" s="729"/>
      <c r="E19" s="729"/>
      <c r="F19" s="730"/>
      <c r="G19" s="160">
        <f>SUM(G15:G18)</f>
        <v>385.5</v>
      </c>
      <c r="H19" s="161">
        <f>IF(G19=0,0,I19/G19)</f>
        <v>121.13618677042801</v>
      </c>
      <c r="I19" s="162">
        <f t="shared" ref="I19:P19" si="1">SUM(I15:I18)</f>
        <v>46698</v>
      </c>
      <c r="J19" s="163">
        <f t="shared" si="1"/>
        <v>30094.400000000001</v>
      </c>
      <c r="K19" s="164">
        <f t="shared" si="1"/>
        <v>16603.599999999999</v>
      </c>
      <c r="L19" s="165">
        <f t="shared" si="1"/>
        <v>0</v>
      </c>
      <c r="M19" s="162">
        <f t="shared" si="1"/>
        <v>0</v>
      </c>
      <c r="N19" s="162">
        <f t="shared" si="1"/>
        <v>0</v>
      </c>
      <c r="O19" s="162">
        <f t="shared" si="1"/>
        <v>0</v>
      </c>
      <c r="P19" s="164">
        <f t="shared" si="1"/>
        <v>0</v>
      </c>
      <c r="Q19" s="136">
        <f>IF($K$75=0,0,K19/$K$75)</f>
        <v>0.38838830409356723</v>
      </c>
      <c r="R19" s="137" t="s">
        <v>114</v>
      </c>
      <c r="S19" s="64"/>
      <c r="T19" s="60"/>
      <c r="U19" s="60"/>
      <c r="V19" s="64"/>
    </row>
    <row r="20" spans="2:23" s="64" customFormat="1" ht="16.95" customHeight="1" x14ac:dyDescent="0.25">
      <c r="B20" s="138" t="s">
        <v>11</v>
      </c>
      <c r="C20" s="139" t="s">
        <v>12</v>
      </c>
      <c r="D20" s="140"/>
      <c r="E20" s="140"/>
      <c r="F20" s="141"/>
      <c r="G20" s="142"/>
      <c r="H20" s="143"/>
      <c r="I20" s="142"/>
      <c r="J20" s="142"/>
      <c r="K20" s="144"/>
      <c r="L20" s="145"/>
      <c r="M20" s="143"/>
      <c r="N20" s="143"/>
      <c r="O20" s="143"/>
      <c r="P20" s="144"/>
      <c r="Q20" s="166"/>
      <c r="R20" s="60"/>
      <c r="S20" s="60"/>
      <c r="T20" s="60"/>
      <c r="U20" s="108"/>
      <c r="V20" s="108"/>
    </row>
    <row r="21" spans="2:23" s="108" customFormat="1" ht="16.95" customHeight="1" x14ac:dyDescent="0.25">
      <c r="B21" s="148" t="s">
        <v>13</v>
      </c>
      <c r="C21" s="372" t="s">
        <v>14</v>
      </c>
      <c r="D21" s="374"/>
      <c r="E21" s="374"/>
      <c r="F21" s="375"/>
      <c r="G21" s="545">
        <f>'calcul heures'!G12</f>
        <v>0</v>
      </c>
      <c r="H21" s="149">
        <f>IF(G21=0,0,(SUMIF(Enseignements!$G$9:$G$90,Paramétrage!$D$15,Enseignements!U$9:U$90)*$H$15+SUMIF(Enseignements!$G$9:$G$90,Paramétrage!$D$15,Enseignements!V$9:V$90)*$H$16+SUMIF(Enseignements!$G$9:$G$90,Paramétrage!$D$15,Enseignements!W$9:W$90)*$H$17+SUMIF(Enseignements!$G$9:$G$90,Paramétrage!$D$15,Enseignements!X$9:X$90)*$H$18)/G21)</f>
        <v>0</v>
      </c>
      <c r="I21" s="150">
        <f>H21*G21</f>
        <v>0</v>
      </c>
      <c r="J21" s="156">
        <f>'calcul heures'!H12*H21</f>
        <v>0</v>
      </c>
      <c r="K21" s="151">
        <f>'calcul heures'!I12*H21</f>
        <v>0</v>
      </c>
      <c r="L21" s="152"/>
      <c r="M21" s="159"/>
      <c r="N21" s="159"/>
      <c r="O21" s="70"/>
      <c r="P21" s="153">
        <f>SUM(L21:O21)</f>
        <v>0</v>
      </c>
      <c r="Q21" s="154"/>
      <c r="R21" s="154"/>
      <c r="S21" s="365"/>
      <c r="T21" s="173"/>
      <c r="V21" s="154"/>
      <c r="W21" s="77"/>
    </row>
    <row r="22" spans="2:23" s="108" customFormat="1" ht="16.95" customHeight="1" x14ac:dyDescent="0.25">
      <c r="B22" s="148" t="s">
        <v>15</v>
      </c>
      <c r="C22" s="722" t="s">
        <v>16</v>
      </c>
      <c r="D22" s="723"/>
      <c r="E22" s="723"/>
      <c r="F22" s="724"/>
      <c r="G22" s="545">
        <f>'calcul heures'!G13</f>
        <v>0</v>
      </c>
      <c r="H22" s="149">
        <f>IF(G22=0,0,(SUMIF(Enseignements!$G$9:$G$90,Paramétrage!$D$18,Enseignements!U$9:U$90)*$H$15+SUMIF(Enseignements!$G$9:$G$90,Paramétrage!$D$18,Enseignements!V$9:V$90)*$H$16+SUMIF(Enseignements!$G$9:$G$90,Paramétrage!$D$18,Enseignements!W$9:W$90)*$H$17+SUMIF(Enseignements!$G$9:$G$90,Paramétrage!$D$18,Enseignements!X$9:X$90)*$H$18)/G22)</f>
        <v>0</v>
      </c>
      <c r="I22" s="150">
        <f>H22*G22</f>
        <v>0</v>
      </c>
      <c r="J22" s="156">
        <f>'calcul heures'!H13*H22</f>
        <v>0</v>
      </c>
      <c r="K22" s="151">
        <f>'calcul heures'!I13*H22</f>
        <v>0</v>
      </c>
      <c r="L22" s="70"/>
      <c r="M22" s="70"/>
      <c r="N22" s="70"/>
      <c r="O22" s="70"/>
      <c r="P22" s="157">
        <f>SUM(L22:O22)</f>
        <v>0</v>
      </c>
      <c r="Q22" s="154"/>
      <c r="R22" s="154"/>
      <c r="S22" s="365"/>
      <c r="T22" s="154"/>
      <c r="V22" s="154"/>
      <c r="W22" s="77"/>
    </row>
    <row r="23" spans="2:23" s="108" customFormat="1" ht="16.95" customHeight="1" x14ac:dyDescent="0.25">
      <c r="B23" s="148" t="s">
        <v>17</v>
      </c>
      <c r="C23" s="722" t="s">
        <v>18</v>
      </c>
      <c r="D23" s="723"/>
      <c r="E23" s="723"/>
      <c r="F23" s="724"/>
      <c r="G23" s="545">
        <f>'calcul heures'!G14</f>
        <v>0</v>
      </c>
      <c r="H23" s="149">
        <f>IF(G23=0,0,(SUMIF(Enseignements!$G$9:$G$90,Paramétrage!$D$9,Enseignements!U$9:U$90)*$H$15+SUMIF(Enseignements!$G$9:$G$90,Paramétrage!$D$9,Enseignements!V$9:V$90)*$H$16+SUMIF(Enseignements!$G$9:$G$90,Paramétrage!$D$9,Enseignements!W$9:W$90)*$H$17+SUMIF(Enseignements!$G$9:$G$90,Paramétrage!$D$9,Enseignements!X$9:X$90)*$H$18)/G23)</f>
        <v>0</v>
      </c>
      <c r="I23" s="150">
        <f>H23*G23</f>
        <v>0</v>
      </c>
      <c r="J23" s="156">
        <f>'calcul heures'!H14*H23</f>
        <v>0</v>
      </c>
      <c r="K23" s="151">
        <f>'calcul heures'!I14*H23</f>
        <v>0</v>
      </c>
      <c r="L23" s="152"/>
      <c r="M23" s="70"/>
      <c r="N23" s="70"/>
      <c r="O23" s="70"/>
      <c r="P23" s="157">
        <f>SUM(L23:O23)</f>
        <v>0</v>
      </c>
      <c r="Q23" s="154"/>
      <c r="R23" s="154"/>
      <c r="S23" s="365"/>
      <c r="T23" s="154"/>
      <c r="V23" s="154"/>
      <c r="W23" s="77"/>
    </row>
    <row r="24" spans="2:23" s="108" customFormat="1" ht="16.95" customHeight="1" x14ac:dyDescent="0.25">
      <c r="B24" s="148" t="s">
        <v>19</v>
      </c>
      <c r="C24" s="722" t="s">
        <v>20</v>
      </c>
      <c r="D24" s="723"/>
      <c r="E24" s="723"/>
      <c r="F24" s="724"/>
      <c r="G24" s="545">
        <f>'calcul heures'!G15</f>
        <v>54</v>
      </c>
      <c r="H24" s="149">
        <f>IF(G24=0,0,(SUMIF(Enseignements!$G$9:$G$90,Paramétrage!$D$12,Enseignements!U$9:U$90)*$H$15+SUMIF(Enseignements!$G$9:$G$90,Paramétrage!$D$12,Enseignements!V$9:V$90)*$H$16+SUMIF(Enseignements!$G$9:$G$90,Paramétrage!$D$12,Enseignements!W$9:W$90)*$H$17+SUMIF(Enseignements!$G$9:$G$90,Paramétrage!$D$12,Enseignements!X$9:X$90)*$H$18)/G24)</f>
        <v>191</v>
      </c>
      <c r="I24" s="150">
        <f>H24*G24</f>
        <v>10314</v>
      </c>
      <c r="J24" s="156">
        <f>'calcul heures'!H15*H24</f>
        <v>0</v>
      </c>
      <c r="K24" s="151">
        <f>'calcul heures'!I15*H24</f>
        <v>10314</v>
      </c>
      <c r="L24" s="152"/>
      <c r="M24" s="159"/>
      <c r="N24" s="159"/>
      <c r="O24" s="70"/>
      <c r="P24" s="157">
        <f>SUM(L24:O24)</f>
        <v>0</v>
      </c>
      <c r="Q24" s="154"/>
      <c r="R24" s="154"/>
      <c r="S24" s="365"/>
      <c r="T24" s="154"/>
      <c r="V24" s="154"/>
      <c r="W24" s="77"/>
    </row>
    <row r="25" spans="2:23" s="108" customFormat="1" ht="16.95" customHeight="1" x14ac:dyDescent="0.25">
      <c r="B25" s="148" t="s">
        <v>21</v>
      </c>
      <c r="C25" s="722" t="s">
        <v>22</v>
      </c>
      <c r="D25" s="723"/>
      <c r="E25" s="723"/>
      <c r="F25" s="724"/>
      <c r="G25" s="545">
        <f>'calcul heures'!G16</f>
        <v>0</v>
      </c>
      <c r="H25" s="149">
        <f>IF(G25=0,0,(SUMIF(Enseignements!$G$9:$G$90,Paramétrage!$D$22,Enseignements!U$9:U$90)*$H$15+SUMIF(Enseignements!$G$9:$G$90,Paramétrage!$D$22,Enseignements!V$9:V$90)*$H$16+SUMIF(Enseignements!$G$9:$G$90,Paramétrage!$D$22,Enseignements!W$9:W$90)*$H$17+SUMIF(Enseignements!$G$9:$G$90,Paramétrage!$D$22,Enseignements!X$9:X$90)*$H$18)/G25)+IF(G25=0,0,(SUMIF(Enseignements!$G$9:$G$90,Paramétrage!$D$25,Enseignements!U$9:U$90)*$H$15+SUMIF(Enseignements!$G$9:$G$90,Paramétrage!$D$25,Enseignements!V$9:V$90)*$H$16+SUMIF(Enseignements!$G$9:$G$90,Paramétrage!$D$25,Enseignements!W$9:W$90)*$H$17+SUMIF(Enseignements!$G$9:$G$90,Paramétrage!$D$25,Enseignements!X$9:X$90)*$H$18)/G25)</f>
        <v>0</v>
      </c>
      <c r="I25" s="150">
        <f>H25*G25</f>
        <v>0</v>
      </c>
      <c r="J25" s="156">
        <f>'calcul heures'!H16*H25</f>
        <v>0</v>
      </c>
      <c r="K25" s="151">
        <f>'calcul heures'!I16*H25</f>
        <v>0</v>
      </c>
      <c r="L25" s="70"/>
      <c r="M25" s="70"/>
      <c r="N25" s="70"/>
      <c r="O25" s="70"/>
      <c r="P25" s="157">
        <f>SUM(L25:O25)</f>
        <v>0</v>
      </c>
      <c r="Q25" s="154">
        <f>IF($I25=0,0,$G25*$J25/$I25)</f>
        <v>0</v>
      </c>
      <c r="R25" s="154">
        <f>SUMIF(Enseignements!$G$9:$G$90,Paramétrage!D19,Enseignements!W$9:W$90)</f>
        <v>0</v>
      </c>
      <c r="S25" s="365">
        <f>R25*H25</f>
        <v>0</v>
      </c>
      <c r="T25" s="154"/>
      <c r="V25" s="154"/>
      <c r="W25" s="77"/>
    </row>
    <row r="26" spans="2:23" s="108" customFormat="1" ht="21.45" customHeight="1" thickBot="1" x14ac:dyDescent="0.3">
      <c r="B26" s="728" t="s">
        <v>117</v>
      </c>
      <c r="C26" s="729"/>
      <c r="D26" s="729"/>
      <c r="E26" s="729"/>
      <c r="F26" s="730"/>
      <c r="G26" s="160">
        <f>SUM(G21:G25)</f>
        <v>54</v>
      </c>
      <c r="H26" s="161">
        <f>IF(G26=0,0,I26/G26)</f>
        <v>191</v>
      </c>
      <c r="I26" s="161">
        <f t="shared" ref="I26:O26" si="2">SUM(I21:I25)</f>
        <v>10314</v>
      </c>
      <c r="J26" s="161">
        <f t="shared" si="2"/>
        <v>0</v>
      </c>
      <c r="K26" s="164">
        <f t="shared" si="2"/>
        <v>10314</v>
      </c>
      <c r="L26" s="167">
        <f t="shared" si="2"/>
        <v>0</v>
      </c>
      <c r="M26" s="168">
        <f t="shared" si="2"/>
        <v>0</v>
      </c>
      <c r="N26" s="169">
        <f t="shared" si="2"/>
        <v>0</v>
      </c>
      <c r="O26" s="162">
        <f t="shared" si="2"/>
        <v>0</v>
      </c>
      <c r="P26" s="164">
        <f>SUM(P21:P24)</f>
        <v>0</v>
      </c>
      <c r="Q26" s="136">
        <f>IF($K$75=0,0,K26/$K$75)</f>
        <v>0.24126315789473685</v>
      </c>
      <c r="R26" s="137" t="s">
        <v>114</v>
      </c>
      <c r="S26" s="64"/>
      <c r="T26" s="107"/>
    </row>
    <row r="27" spans="2:23" s="108" customFormat="1" ht="16.95" customHeight="1" x14ac:dyDescent="0.25">
      <c r="B27" s="138" t="s">
        <v>118</v>
      </c>
      <c r="C27" s="139" t="s">
        <v>119</v>
      </c>
      <c r="D27" s="140"/>
      <c r="E27" s="140"/>
      <c r="F27" s="141"/>
      <c r="G27" s="142"/>
      <c r="H27" s="143"/>
      <c r="I27" s="142"/>
      <c r="J27" s="142"/>
      <c r="K27" s="144"/>
      <c r="L27" s="170"/>
      <c r="M27" s="171"/>
      <c r="N27" s="171"/>
      <c r="O27" s="171"/>
      <c r="P27" s="172"/>
      <c r="Q27" s="146"/>
      <c r="R27" s="173">
        <f>IF($I27=0,0,IF($P27=0,0,$G27*$J27/$I27*L27/$P27))</f>
        <v>0</v>
      </c>
      <c r="S27" s="173">
        <f>IF($I27=0,0,IF($P27=0,0,$G27*$J27/$I27*M27/$P27))</f>
        <v>0</v>
      </c>
      <c r="T27" s="173">
        <f>IF($I27=0,0,IF($P27=0,0,$G27*$J27/$I27*N27/$P27))</f>
        <v>0</v>
      </c>
      <c r="U27" s="174">
        <f>IF($I27=0,0,IF($P27=0,0,$G27*$J27/$I27*O27/$P27))</f>
        <v>0</v>
      </c>
      <c r="V27" s="175"/>
    </row>
    <row r="28" spans="2:23" s="108" customFormat="1" ht="16.95" customHeight="1" x14ac:dyDescent="0.25">
      <c r="B28" s="148" t="s">
        <v>120</v>
      </c>
      <c r="C28" s="722" t="s">
        <v>121</v>
      </c>
      <c r="D28" s="723"/>
      <c r="E28" s="723"/>
      <c r="F28" s="724"/>
      <c r="G28" s="70">
        <v>20</v>
      </c>
      <c r="H28" s="149">
        <f>+H15</f>
        <v>218</v>
      </c>
      <c r="I28" s="176">
        <f>H28*G28</f>
        <v>4360</v>
      </c>
      <c r="J28" s="150">
        <f>I28-K28</f>
        <v>3052</v>
      </c>
      <c r="K28" s="151">
        <f>IF($E$7=0,0,I28/$E$7*$E$8)</f>
        <v>1308</v>
      </c>
      <c r="L28" s="177"/>
      <c r="M28" s="70"/>
      <c r="N28" s="70"/>
      <c r="O28" s="70"/>
      <c r="P28" s="157">
        <f>SUM(L28:O28)</f>
        <v>0</v>
      </c>
      <c r="Q28" s="154"/>
      <c r="R28" s="154"/>
      <c r="S28" s="154"/>
      <c r="T28" s="154"/>
      <c r="U28" s="154"/>
      <c r="V28" s="155"/>
      <c r="W28" s="178"/>
    </row>
    <row r="29" spans="2:23" s="108" customFormat="1" ht="16.95" customHeight="1" x14ac:dyDescent="0.25">
      <c r="B29" s="148" t="s">
        <v>122</v>
      </c>
      <c r="C29" s="722" t="s">
        <v>123</v>
      </c>
      <c r="D29" s="723"/>
      <c r="E29" s="723"/>
      <c r="F29" s="724"/>
      <c r="G29" s="70"/>
      <c r="H29" s="149">
        <f>$H$19</f>
        <v>121.13618677042801</v>
      </c>
      <c r="I29" s="176">
        <f>H29*G29</f>
        <v>0</v>
      </c>
      <c r="J29" s="150">
        <f>I29-K29</f>
        <v>0</v>
      </c>
      <c r="K29" s="151">
        <f>I29</f>
        <v>0</v>
      </c>
      <c r="L29" s="177"/>
      <c r="M29" s="152"/>
      <c r="N29" s="70"/>
      <c r="O29" s="70"/>
      <c r="P29" s="157">
        <f>SUM(L29:O29)</f>
        <v>0</v>
      </c>
      <c r="Q29" s="154"/>
      <c r="R29" s="154"/>
      <c r="S29" s="154"/>
      <c r="T29" s="154"/>
      <c r="U29" s="154"/>
      <c r="V29" s="155"/>
      <c r="W29" s="178"/>
    </row>
    <row r="30" spans="2:23" s="108" customFormat="1" ht="16.95" customHeight="1" x14ac:dyDescent="0.25">
      <c r="B30" s="148" t="s">
        <v>124</v>
      </c>
      <c r="C30" s="373" t="s">
        <v>48</v>
      </c>
      <c r="D30" s="374"/>
      <c r="E30" s="374"/>
      <c r="F30" s="375"/>
      <c r="G30" s="179"/>
      <c r="H30" s="149">
        <f>$H$19</f>
        <v>121.13618677042801</v>
      </c>
      <c r="I30" s="180">
        <f>H30*G30</f>
        <v>0</v>
      </c>
      <c r="J30" s="150">
        <f>I30-K30</f>
        <v>0</v>
      </c>
      <c r="K30" s="151">
        <f>IF($E$7=0,0,I30/$E$7*$E$8)</f>
        <v>0</v>
      </c>
      <c r="L30" s="181"/>
      <c r="M30" s="70"/>
      <c r="N30" s="70"/>
      <c r="O30" s="70"/>
      <c r="P30" s="157">
        <f>SUM(L30:O30)</f>
        <v>0</v>
      </c>
      <c r="Q30" s="154"/>
      <c r="R30" s="154"/>
      <c r="S30" s="154"/>
      <c r="T30" s="154"/>
      <c r="U30" s="154"/>
      <c r="V30" s="155"/>
      <c r="W30" s="178"/>
    </row>
    <row r="31" spans="2:23" s="108" customFormat="1" ht="21" customHeight="1" thickBot="1" x14ac:dyDescent="0.3">
      <c r="B31" s="728" t="s">
        <v>125</v>
      </c>
      <c r="C31" s="729"/>
      <c r="D31" s="729"/>
      <c r="E31" s="729"/>
      <c r="F31" s="730"/>
      <c r="G31" s="160">
        <f>SUM(G28:G30)</f>
        <v>20</v>
      </c>
      <c r="H31" s="161">
        <f>IF(G31=0,0,I31/G31)</f>
        <v>218</v>
      </c>
      <c r="I31" s="161">
        <f t="shared" ref="I31:O31" si="3">SUM(I28:I30)</f>
        <v>4360</v>
      </c>
      <c r="J31" s="161">
        <f t="shared" si="3"/>
        <v>3052</v>
      </c>
      <c r="K31" s="349">
        <f t="shared" si="3"/>
        <v>1308</v>
      </c>
      <c r="L31" s="165">
        <f t="shared" si="3"/>
        <v>0</v>
      </c>
      <c r="M31" s="162">
        <f t="shared" si="3"/>
        <v>0</v>
      </c>
      <c r="N31" s="162">
        <f t="shared" si="3"/>
        <v>0</v>
      </c>
      <c r="O31" s="162">
        <f t="shared" si="3"/>
        <v>0</v>
      </c>
      <c r="P31" s="164">
        <f>SUM(P27:P30)</f>
        <v>0</v>
      </c>
      <c r="Q31" s="136">
        <f>IF($K$75=0,0,K31/$K$75)</f>
        <v>3.0596491228070174E-2</v>
      </c>
      <c r="R31" s="137" t="s">
        <v>114</v>
      </c>
      <c r="S31" s="64"/>
      <c r="T31" s="107"/>
      <c r="U31" s="61"/>
    </row>
    <row r="32" spans="2:23" s="108" customFormat="1" ht="21" customHeight="1" thickBot="1" x14ac:dyDescent="0.3">
      <c r="B32" s="189"/>
      <c r="C32" s="190"/>
      <c r="D32" s="191"/>
      <c r="E32" s="192"/>
      <c r="F32" s="192"/>
      <c r="G32" s="192"/>
      <c r="H32" s="193" t="s">
        <v>273</v>
      </c>
      <c r="I32" s="194">
        <f>IF($E$7=0,0,(I31+I19+I26)/$E$7)</f>
        <v>3068.6</v>
      </c>
      <c r="J32" s="195">
        <f>IF($E$7-$E$8=0,0,(J31+J19+J26)/($E$7-$E$8))</f>
        <v>2367.6</v>
      </c>
      <c r="K32" s="196">
        <f>IF($E$8=0,0,(K31+K19+K26)/$E$8)</f>
        <v>4704.2666666666664</v>
      </c>
      <c r="L32" s="184"/>
      <c r="M32" s="184"/>
      <c r="N32" s="184"/>
      <c r="O32" s="184"/>
      <c r="P32" s="184"/>
      <c r="Q32" s="185"/>
      <c r="R32" s="185"/>
      <c r="S32" s="186"/>
      <c r="T32" s="187"/>
      <c r="U32" s="107"/>
      <c r="V32" s="188"/>
    </row>
    <row r="33" spans="2:22" s="108" customFormat="1" ht="21" customHeight="1" thickBot="1" x14ac:dyDescent="0.3">
      <c r="B33" s="127" t="s">
        <v>275</v>
      </c>
      <c r="C33" s="128"/>
      <c r="D33" s="129"/>
      <c r="E33" s="129"/>
      <c r="F33" s="129"/>
      <c r="G33" s="130">
        <f>G34+G35</f>
        <v>0</v>
      </c>
      <c r="H33" s="131">
        <f>IF(G33=0,0,I33/G33)</f>
        <v>0</v>
      </c>
      <c r="I33" s="132">
        <f>SUM(I34:I35)</f>
        <v>0</v>
      </c>
      <c r="J33" s="133">
        <f>SUM(J34:J35)</f>
        <v>0</v>
      </c>
      <c r="K33" s="134">
        <f>SUM(K34:K35)</f>
        <v>0</v>
      </c>
      <c r="L33" s="135">
        <f>L39+L51+L46</f>
        <v>0</v>
      </c>
      <c r="M33" s="131">
        <f>M39+M51+M46</f>
        <v>0</v>
      </c>
      <c r="N33" s="132">
        <f>N39+N51+N46</f>
        <v>0</v>
      </c>
      <c r="O33" s="131">
        <f>O39+O51+O46</f>
        <v>0</v>
      </c>
      <c r="P33" s="134">
        <f>P39+P51+P46</f>
        <v>0</v>
      </c>
      <c r="Q33" s="136">
        <f>IF($K$70=0,0,K33/$K$70)</f>
        <v>0</v>
      </c>
      <c r="R33" s="137" t="s">
        <v>114</v>
      </c>
      <c r="S33" s="186"/>
      <c r="T33" s="187"/>
      <c r="U33" s="107"/>
      <c r="V33" s="188"/>
    </row>
    <row r="34" spans="2:22" s="108" customFormat="1" ht="21" customHeight="1" x14ac:dyDescent="0.25">
      <c r="B34" s="148" t="s">
        <v>276</v>
      </c>
      <c r="C34" s="731"/>
      <c r="D34" s="732"/>
      <c r="E34" s="732"/>
      <c r="F34" s="733"/>
      <c r="G34" s="70"/>
      <c r="H34" s="511">
        <f>IFERROR(VLOOKUP(C34,Paramétrage!$Q$6:$R$11,2,0),0)</f>
        <v>0</v>
      </c>
      <c r="I34" s="511">
        <f>H34*G34</f>
        <v>0</v>
      </c>
      <c r="J34" s="150">
        <f>I34-K34</f>
        <v>0</v>
      </c>
      <c r="K34" s="157">
        <f>IF($E$7=0,0,I34/$E$7*$E$8)</f>
        <v>0</v>
      </c>
      <c r="L34" s="512"/>
      <c r="M34" s="513"/>
      <c r="N34" s="513"/>
      <c r="O34" s="513"/>
      <c r="P34" s="514"/>
      <c r="Q34" s="154"/>
      <c r="R34" s="154"/>
      <c r="S34" s="186"/>
      <c r="T34" s="187"/>
      <c r="U34" s="107"/>
      <c r="V34" s="188"/>
    </row>
    <row r="35" spans="2:22" s="108" customFormat="1" ht="21" customHeight="1" x14ac:dyDescent="0.25">
      <c r="B35" s="148" t="s">
        <v>278</v>
      </c>
      <c r="C35" s="731"/>
      <c r="D35" s="732"/>
      <c r="E35" s="732"/>
      <c r="F35" s="733"/>
      <c r="G35" s="70"/>
      <c r="H35" s="511">
        <f>IFERROR(VLOOKUP(C35,Paramétrage!$Q$6:$R$11,2,0),0)</f>
        <v>0</v>
      </c>
      <c r="I35" s="511">
        <f>H35*G35</f>
        <v>0</v>
      </c>
      <c r="J35" s="150">
        <f>I35-K35</f>
        <v>0</v>
      </c>
      <c r="K35" s="157">
        <f>IF($E$7=0,0,I35/$E$7*$E$8)</f>
        <v>0</v>
      </c>
      <c r="L35" s="515"/>
      <c r="M35" s="515"/>
      <c r="N35" s="515"/>
      <c r="O35" s="515"/>
      <c r="P35" s="290"/>
      <c r="Q35" s="154"/>
      <c r="R35" s="154"/>
      <c r="S35" s="186"/>
      <c r="T35" s="187"/>
      <c r="U35" s="107"/>
      <c r="V35" s="188"/>
    </row>
    <row r="36" spans="2:22" s="108" customFormat="1" ht="21" customHeight="1" thickBot="1" x14ac:dyDescent="0.3">
      <c r="B36" s="189"/>
      <c r="C36" s="190"/>
      <c r="D36" s="191"/>
      <c r="E36" s="192"/>
      <c r="F36" s="192"/>
      <c r="G36" s="192"/>
      <c r="H36" s="193" t="s">
        <v>280</v>
      </c>
      <c r="I36" s="194">
        <f>IF($E$7=0,0,I33/$E$7)</f>
        <v>0</v>
      </c>
      <c r="J36" s="195">
        <f>IF($E$7-$E$8=0,0,J33/($E$7-$E$8))</f>
        <v>0</v>
      </c>
      <c r="K36" s="196">
        <f>IF($E$8=0,0,K33/$E$8)</f>
        <v>0</v>
      </c>
      <c r="L36" s="184"/>
      <c r="M36" s="184"/>
      <c r="N36" s="184"/>
      <c r="O36" s="184"/>
      <c r="P36" s="184"/>
      <c r="Q36" s="185"/>
      <c r="R36" s="185"/>
      <c r="S36" s="186"/>
      <c r="T36" s="187"/>
      <c r="U36" s="107"/>
      <c r="V36" s="188"/>
    </row>
    <row r="37" spans="2:22" s="108" customFormat="1" ht="21" customHeight="1" thickBot="1" x14ac:dyDescent="0.3">
      <c r="B37" s="189"/>
      <c r="C37" s="190"/>
      <c r="D37" s="191"/>
      <c r="E37" s="192"/>
      <c r="F37" s="192"/>
      <c r="G37" s="192"/>
      <c r="H37" s="193" t="s">
        <v>290</v>
      </c>
      <c r="I37" s="194">
        <f>IF($E$7=0,0,(I33+I13)/$E$7)</f>
        <v>3068.6</v>
      </c>
      <c r="J37" s="195">
        <f>IF($E$7=$E$8,0,(J33+J13)/($E$7-$E$8))</f>
        <v>2367.6</v>
      </c>
      <c r="K37" s="196">
        <f>IF(E8=0,0,(K33+K13)/$E$8)</f>
        <v>4704.2666666666664</v>
      </c>
      <c r="L37" s="184"/>
      <c r="M37" s="184"/>
      <c r="N37" s="184"/>
      <c r="O37" s="184"/>
      <c r="P37" s="184"/>
      <c r="Q37" s="185"/>
      <c r="R37" s="185"/>
      <c r="S37" s="186"/>
      <c r="T37" s="187"/>
      <c r="U37" s="107"/>
      <c r="V37" s="188"/>
    </row>
    <row r="38" spans="2:22" s="64" customFormat="1" ht="22.2" customHeight="1" thickBot="1" x14ac:dyDescent="0.3">
      <c r="B38" s="197" t="s">
        <v>126</v>
      </c>
      <c r="C38" s="198"/>
      <c r="D38" s="199"/>
      <c r="E38" s="199"/>
      <c r="F38" s="199"/>
      <c r="G38" s="199"/>
      <c r="H38" s="200"/>
      <c r="I38" s="201">
        <f t="shared" ref="I38:P38" si="4">SUM(I39:I47)</f>
        <v>6160</v>
      </c>
      <c r="J38" s="202">
        <f t="shared" si="4"/>
        <v>5420</v>
      </c>
      <c r="K38" s="203">
        <f t="shared" si="4"/>
        <v>740</v>
      </c>
      <c r="L38" s="135">
        <f t="shared" si="4"/>
        <v>0</v>
      </c>
      <c r="M38" s="131">
        <f t="shared" si="4"/>
        <v>0</v>
      </c>
      <c r="N38" s="132">
        <f t="shared" si="4"/>
        <v>0</v>
      </c>
      <c r="O38" s="131">
        <f t="shared" si="4"/>
        <v>0</v>
      </c>
      <c r="P38" s="204">
        <f t="shared" si="4"/>
        <v>0</v>
      </c>
      <c r="Q38" s="136">
        <f>IF($K$75=0,0,K38/$K$75)</f>
        <v>1.7309941520467838E-2</v>
      </c>
      <c r="R38" s="137" t="s">
        <v>114</v>
      </c>
      <c r="U38" s="108"/>
      <c r="V38" s="108"/>
    </row>
    <row r="39" spans="2:22" s="108" customFormat="1" ht="16.95" customHeight="1" x14ac:dyDescent="0.25">
      <c r="B39" s="205" t="s">
        <v>127</v>
      </c>
      <c r="C39" s="206" t="s">
        <v>128</v>
      </c>
      <c r="D39" s="207"/>
      <c r="E39" s="207"/>
      <c r="F39" s="207"/>
      <c r="G39" s="207"/>
      <c r="H39" s="207"/>
      <c r="I39" s="208"/>
      <c r="J39" s="209">
        <f t="shared" ref="J39:J47" si="5">I39-K39</f>
        <v>0</v>
      </c>
      <c r="K39" s="210">
        <f>IF($E$7=0,0,I39/$E$7*$E$8)</f>
        <v>0</v>
      </c>
      <c r="L39" s="211"/>
      <c r="M39" s="212"/>
      <c r="N39" s="213"/>
      <c r="O39" s="212"/>
      <c r="P39" s="214">
        <f t="shared" ref="P39:P47" si="6">SUM(L39:O39)</f>
        <v>0</v>
      </c>
      <c r="Q39" s="215"/>
      <c r="R39" s="216"/>
      <c r="S39" s="64"/>
    </row>
    <row r="40" spans="2:22" s="108" customFormat="1" ht="16.95" customHeight="1" x14ac:dyDescent="0.25">
      <c r="B40" s="84" t="s">
        <v>129</v>
      </c>
      <c r="C40" s="217" t="s">
        <v>130</v>
      </c>
      <c r="D40" s="218"/>
      <c r="E40" s="218"/>
      <c r="F40" s="218"/>
      <c r="G40" s="218"/>
      <c r="H40" s="218"/>
      <c r="I40" s="219"/>
      <c r="J40" s="149">
        <f t="shared" si="5"/>
        <v>0</v>
      </c>
      <c r="K40" s="220">
        <f>IF($E$7=0,0,I40/$E$7*$E$8)</f>
        <v>0</v>
      </c>
      <c r="L40" s="177"/>
      <c r="M40" s="152"/>
      <c r="N40" s="221"/>
      <c r="O40" s="152"/>
      <c r="P40" s="157">
        <f t="shared" si="6"/>
        <v>0</v>
      </c>
      <c r="Q40" s="215"/>
      <c r="R40" s="216"/>
      <c r="S40" s="64"/>
    </row>
    <row r="41" spans="2:22" s="108" customFormat="1" ht="16.95" customHeight="1" x14ac:dyDescent="0.25">
      <c r="B41" s="84" t="s">
        <v>131</v>
      </c>
      <c r="C41" s="217" t="s">
        <v>132</v>
      </c>
      <c r="D41" s="218"/>
      <c r="E41" s="218"/>
      <c r="F41" s="218"/>
      <c r="G41" s="218"/>
      <c r="H41" s="218"/>
      <c r="I41" s="219"/>
      <c r="J41" s="149">
        <f t="shared" si="5"/>
        <v>0</v>
      </c>
      <c r="K41" s="220">
        <f>IF($E$7=0,0,I41/$E$7*$E$8)</f>
        <v>0</v>
      </c>
      <c r="L41" s="177"/>
      <c r="M41" s="152"/>
      <c r="N41" s="221"/>
      <c r="O41" s="152"/>
      <c r="P41" s="157">
        <f t="shared" si="6"/>
        <v>0</v>
      </c>
      <c r="Q41" s="215"/>
      <c r="R41" s="216"/>
      <c r="S41" s="64"/>
    </row>
    <row r="42" spans="2:22" s="108" customFormat="1" ht="16.95" customHeight="1" x14ac:dyDescent="0.25">
      <c r="B42" s="84" t="s">
        <v>133</v>
      </c>
      <c r="C42" s="217" t="s">
        <v>134</v>
      </c>
      <c r="D42" s="218"/>
      <c r="E42" s="218"/>
      <c r="F42" s="218"/>
      <c r="G42" s="218"/>
      <c r="H42" s="218"/>
      <c r="I42" s="219">
        <v>600</v>
      </c>
      <c r="J42" s="149">
        <f t="shared" si="5"/>
        <v>420</v>
      </c>
      <c r="K42" s="220">
        <f>IF($E$7=0,0,I42/$E$7*$E$8)</f>
        <v>180</v>
      </c>
      <c r="L42" s="177"/>
      <c r="M42" s="152"/>
      <c r="N42" s="221"/>
      <c r="O42" s="152"/>
      <c r="P42" s="157">
        <f t="shared" si="6"/>
        <v>0</v>
      </c>
      <c r="Q42" s="215"/>
      <c r="R42" s="216"/>
      <c r="S42" s="64"/>
    </row>
    <row r="43" spans="2:22" s="108" customFormat="1" ht="16.95" customHeight="1" x14ac:dyDescent="0.25">
      <c r="B43" s="84" t="s">
        <v>135</v>
      </c>
      <c r="C43" s="217" t="s">
        <v>136</v>
      </c>
      <c r="D43" s="218"/>
      <c r="E43" s="218"/>
      <c r="F43" s="218"/>
      <c r="G43" s="218"/>
      <c r="H43" s="218"/>
      <c r="I43" s="219"/>
      <c r="J43" s="149">
        <f t="shared" si="5"/>
        <v>0</v>
      </c>
      <c r="K43" s="220">
        <f>IF($E$7=0,0,I43/$E$7*$E$8)</f>
        <v>0</v>
      </c>
      <c r="L43" s="177"/>
      <c r="M43" s="152"/>
      <c r="N43" s="221"/>
      <c r="O43" s="152"/>
      <c r="P43" s="157">
        <f t="shared" si="6"/>
        <v>0</v>
      </c>
      <c r="Q43" s="215"/>
      <c r="R43" s="216"/>
      <c r="S43" s="64"/>
    </row>
    <row r="44" spans="2:22" s="108" customFormat="1" ht="16.95" customHeight="1" x14ac:dyDescent="0.25">
      <c r="B44" s="84" t="s">
        <v>137</v>
      </c>
      <c r="C44" s="217" t="s">
        <v>138</v>
      </c>
      <c r="D44" s="218"/>
      <c r="E44" s="218"/>
      <c r="F44" s="218"/>
      <c r="G44" s="218"/>
      <c r="H44" s="218"/>
      <c r="I44" s="219">
        <v>5000</v>
      </c>
      <c r="J44" s="149">
        <f t="shared" si="5"/>
        <v>5000</v>
      </c>
      <c r="K44" s="220">
        <v>0</v>
      </c>
      <c r="L44" s="177"/>
      <c r="M44" s="152"/>
      <c r="N44" s="221"/>
      <c r="O44" s="152"/>
      <c r="P44" s="157">
        <f t="shared" si="6"/>
        <v>0</v>
      </c>
      <c r="Q44" s="215"/>
      <c r="R44" s="216"/>
      <c r="S44" s="64"/>
    </row>
    <row r="45" spans="2:22" s="108" customFormat="1" ht="16.95" customHeight="1" x14ac:dyDescent="0.25">
      <c r="B45" s="84" t="s">
        <v>139</v>
      </c>
      <c r="C45" s="217" t="s">
        <v>140</v>
      </c>
      <c r="D45" s="218"/>
      <c r="E45" s="218"/>
      <c r="F45" s="218"/>
      <c r="G45" s="218"/>
      <c r="H45" s="218"/>
      <c r="I45" s="219">
        <f>13*20 +300</f>
        <v>560</v>
      </c>
      <c r="J45" s="149">
        <f t="shared" si="5"/>
        <v>0</v>
      </c>
      <c r="K45" s="220">
        <f>I45</f>
        <v>560</v>
      </c>
      <c r="L45" s="177"/>
      <c r="M45" s="152"/>
      <c r="N45" s="221"/>
      <c r="O45" s="152"/>
      <c r="P45" s="157">
        <f t="shared" si="6"/>
        <v>0</v>
      </c>
      <c r="Q45" s="215"/>
      <c r="R45" s="216"/>
      <c r="S45" s="64"/>
    </row>
    <row r="46" spans="2:22" s="108" customFormat="1" ht="16.95" customHeight="1" x14ac:dyDescent="0.25">
      <c r="B46" s="84" t="s">
        <v>141</v>
      </c>
      <c r="C46" s="217" t="s">
        <v>142</v>
      </c>
      <c r="D46" s="218"/>
      <c r="E46" s="218"/>
      <c r="F46" s="218"/>
      <c r="G46" s="218"/>
      <c r="H46" s="218"/>
      <c r="I46" s="219"/>
      <c r="J46" s="149">
        <f t="shared" si="5"/>
        <v>0</v>
      </c>
      <c r="K46" s="220">
        <f>IF($E$7=0,0,I46/$E$7*$E$8)</f>
        <v>0</v>
      </c>
      <c r="L46" s="177"/>
      <c r="M46" s="152"/>
      <c r="N46" s="221"/>
      <c r="O46" s="152"/>
      <c r="P46" s="157">
        <f t="shared" si="6"/>
        <v>0</v>
      </c>
      <c r="Q46" s="215"/>
      <c r="R46" s="216"/>
      <c r="S46" s="64"/>
    </row>
    <row r="47" spans="2:22" s="108" customFormat="1" ht="16.95" customHeight="1" thickBot="1" x14ac:dyDescent="0.3">
      <c r="B47" s="222" t="s">
        <v>143</v>
      </c>
      <c r="C47" s="223" t="s">
        <v>144</v>
      </c>
      <c r="D47" s="224"/>
      <c r="E47" s="224"/>
      <c r="F47" s="224"/>
      <c r="G47" s="224"/>
      <c r="H47" s="225"/>
      <c r="I47" s="226"/>
      <c r="J47" s="227">
        <f t="shared" si="5"/>
        <v>0</v>
      </c>
      <c r="K47" s="228">
        <f>IF($E$7=0,0,I47/$E$7*$E$8)</f>
        <v>0</v>
      </c>
      <c r="L47" s="229"/>
      <c r="M47" s="230"/>
      <c r="N47" s="231"/>
      <c r="O47" s="230"/>
      <c r="P47" s="232">
        <f t="shared" si="6"/>
        <v>0</v>
      </c>
      <c r="Q47" s="215"/>
      <c r="R47" s="216"/>
      <c r="S47" s="64"/>
    </row>
    <row r="48" spans="2:22" s="108" customFormat="1" ht="24.45" customHeight="1" thickBot="1" x14ac:dyDescent="0.3">
      <c r="B48" s="233"/>
      <c r="C48" s="234"/>
      <c r="E48" s="235"/>
      <c r="F48" s="235"/>
      <c r="G48" s="235"/>
      <c r="H48" s="65" t="s">
        <v>145</v>
      </c>
      <c r="I48" s="236">
        <f>IF(E7=0,0,I38/$E$7)</f>
        <v>308</v>
      </c>
      <c r="J48" s="236">
        <f>IF(E7-E8=0,0,J38/($E$7-$E$8))</f>
        <v>387.14285714285717</v>
      </c>
      <c r="K48" s="196">
        <f>IF($E$8=0,0,K38/$E$8)</f>
        <v>123.33333333333333</v>
      </c>
      <c r="L48" s="184"/>
      <c r="M48" s="184"/>
      <c r="N48" s="184"/>
      <c r="O48" s="184"/>
      <c r="P48" s="184"/>
      <c r="Q48" s="215"/>
      <c r="R48" s="216"/>
      <c r="S48" s="64"/>
      <c r="U48" s="64"/>
      <c r="V48" s="64"/>
    </row>
    <row r="49" spans="1:22" s="64" customFormat="1" ht="21.45" customHeight="1" thickBot="1" x14ac:dyDescent="0.3">
      <c r="B49" s="127" t="s">
        <v>146</v>
      </c>
      <c r="C49" s="128"/>
      <c r="D49" s="129"/>
      <c r="E49" s="129"/>
      <c r="F49" s="129"/>
      <c r="G49" s="129"/>
      <c r="H49" s="237"/>
      <c r="I49" s="238">
        <f>I13+I33+I38</f>
        <v>67532</v>
      </c>
      <c r="J49" s="238">
        <f>J13+J33+J38</f>
        <v>38566.400000000001</v>
      </c>
      <c r="K49" s="238">
        <f>K13+K33+K38</f>
        <v>28965.599999999999</v>
      </c>
      <c r="L49" s="238">
        <f>L38+L31+L19+L26</f>
        <v>0</v>
      </c>
      <c r="M49" s="238">
        <f>M38+M31+M19+M26</f>
        <v>0</v>
      </c>
      <c r="N49" s="238">
        <f>N38+N31+N19+N26</f>
        <v>0</v>
      </c>
      <c r="O49" s="238">
        <f>O38+O31+O19+O26</f>
        <v>0</v>
      </c>
      <c r="P49" s="239">
        <f>P38+P31+P19+P26</f>
        <v>0</v>
      </c>
      <c r="Q49" s="240">
        <f>IF($K$75=0,0,K49/$K$75)</f>
        <v>0.67755789473684203</v>
      </c>
      <c r="R49" s="137" t="s">
        <v>114</v>
      </c>
      <c r="S49" s="241"/>
      <c r="U49" s="61"/>
      <c r="V49" s="108"/>
    </row>
    <row r="50" spans="1:22" s="108" customFormat="1" ht="21" customHeight="1" thickBot="1" x14ac:dyDescent="0.3">
      <c r="B50" s="242"/>
      <c r="C50" s="243"/>
      <c r="D50" s="243"/>
      <c r="E50" s="244"/>
      <c r="F50" s="244"/>
      <c r="G50" s="244"/>
      <c r="H50" s="245" t="s">
        <v>147</v>
      </c>
      <c r="I50" s="194">
        <f>IF(E7=0,0,I49/E7)</f>
        <v>3376.6</v>
      </c>
      <c r="J50" s="236">
        <f>IF((E7-E8)=0,0,J49/(E7-E8))</f>
        <v>2754.7428571428572</v>
      </c>
      <c r="K50" s="246">
        <f>IF(E8=0,0,K49/E8)</f>
        <v>4827.5999999999995</v>
      </c>
      <c r="L50" s="184"/>
      <c r="M50" s="184"/>
      <c r="N50" s="184"/>
      <c r="O50" s="184"/>
      <c r="P50" s="184"/>
      <c r="Q50" s="247"/>
      <c r="R50" s="216"/>
      <c r="S50" s="64"/>
      <c r="T50" s="107"/>
      <c r="U50" s="61"/>
    </row>
    <row r="51" spans="1:22" s="108" customFormat="1" ht="12" customHeight="1" thickBot="1" x14ac:dyDescent="0.3">
      <c r="B51" s="233"/>
      <c r="E51" s="235"/>
      <c r="F51" s="235"/>
      <c r="G51" s="235"/>
      <c r="H51" s="65"/>
      <c r="I51" s="194"/>
      <c r="J51" s="194"/>
      <c r="K51" s="248"/>
      <c r="L51" s="184"/>
      <c r="M51" s="184"/>
      <c r="N51" s="184"/>
      <c r="O51" s="184"/>
      <c r="P51" s="184"/>
      <c r="Q51" s="247"/>
      <c r="R51" s="216"/>
      <c r="S51" s="64"/>
      <c r="T51" s="107"/>
      <c r="U51" s="60"/>
      <c r="V51" s="60"/>
    </row>
    <row r="52" spans="1:22" s="60" customFormat="1" ht="55.8" thickBot="1" x14ac:dyDescent="0.3">
      <c r="B52" s="249" t="s">
        <v>148</v>
      </c>
      <c r="C52" s="250" t="s">
        <v>149</v>
      </c>
      <c r="D52" s="251"/>
      <c r="E52" s="251"/>
      <c r="F52" s="251"/>
      <c r="G52" s="251"/>
      <c r="H52" s="119" t="s">
        <v>150</v>
      </c>
      <c r="I52" s="118" t="s">
        <v>107</v>
      </c>
      <c r="J52" s="119" t="s">
        <v>108</v>
      </c>
      <c r="K52" s="120" t="s">
        <v>151</v>
      </c>
      <c r="L52" s="252" t="str">
        <f>L12</f>
        <v>Lyon 2</v>
      </c>
      <c r="M52" s="119" t="str">
        <f>M12</f>
        <v>Partenaire 1</v>
      </c>
      <c r="N52" s="119" t="str">
        <f>N12</f>
        <v>Partenaire 2</v>
      </c>
      <c r="O52" s="119" t="str">
        <f>O12</f>
        <v>Partenaire 3</v>
      </c>
      <c r="P52" s="124" t="s">
        <v>23</v>
      </c>
      <c r="Q52" s="253"/>
      <c r="R52" s="126"/>
      <c r="U52" s="64"/>
      <c r="V52" s="64"/>
    </row>
    <row r="53" spans="1:22" s="64" customFormat="1" ht="19.95" customHeight="1" thickBot="1" x14ac:dyDescent="0.3">
      <c r="B53" s="127" t="s">
        <v>152</v>
      </c>
      <c r="C53" s="128"/>
      <c r="D53" s="129"/>
      <c r="E53" s="129"/>
      <c r="F53" s="129"/>
      <c r="G53" s="129"/>
      <c r="H53" s="338"/>
      <c r="I53" s="132">
        <f t="shared" ref="I53:P53" si="7">SUM(I54:I57)</f>
        <v>19552</v>
      </c>
      <c r="J53" s="133">
        <f t="shared" si="7"/>
        <v>12376</v>
      </c>
      <c r="K53" s="134">
        <f t="shared" si="7"/>
        <v>7176</v>
      </c>
      <c r="L53" s="132">
        <f t="shared" si="7"/>
        <v>0</v>
      </c>
      <c r="M53" s="131">
        <f t="shared" si="7"/>
        <v>0</v>
      </c>
      <c r="N53" s="131">
        <f t="shared" si="7"/>
        <v>0</v>
      </c>
      <c r="O53" s="132">
        <f t="shared" si="7"/>
        <v>0</v>
      </c>
      <c r="P53" s="134">
        <f t="shared" si="7"/>
        <v>0</v>
      </c>
      <c r="Q53" s="166"/>
      <c r="R53" s="254"/>
    </row>
    <row r="54" spans="1:22" s="64" customFormat="1" ht="16.95" customHeight="1" x14ac:dyDescent="0.25">
      <c r="B54" s="255" t="s">
        <v>153</v>
      </c>
      <c r="C54" s="256" t="s">
        <v>154</v>
      </c>
      <c r="D54" s="257"/>
      <c r="E54" s="257"/>
      <c r="F54" s="257"/>
      <c r="G54" s="258"/>
      <c r="H54" s="376">
        <f>IF(H4="Formation courte",312/2,312)</f>
        <v>312</v>
      </c>
      <c r="I54" s="149">
        <f>H54*E8</f>
        <v>1872</v>
      </c>
      <c r="J54" s="150">
        <f>I54-K54</f>
        <v>0</v>
      </c>
      <c r="K54" s="151">
        <f>I54</f>
        <v>1872</v>
      </c>
      <c r="L54" s="259"/>
      <c r="M54" s="260"/>
      <c r="N54" s="260"/>
      <c r="O54" s="261"/>
      <c r="P54" s="153">
        <f>SUM(L54:O54)</f>
        <v>0</v>
      </c>
      <c r="R54" s="216"/>
      <c r="U54" s="108"/>
      <c r="V54" s="108"/>
    </row>
    <row r="55" spans="1:22" s="108" customFormat="1" ht="18.75" customHeight="1" x14ac:dyDescent="0.25">
      <c r="B55" s="255" t="s">
        <v>155</v>
      </c>
      <c r="C55" s="262" t="s">
        <v>156</v>
      </c>
      <c r="D55" s="263"/>
      <c r="E55" s="263"/>
      <c r="F55" s="263"/>
      <c r="G55" s="264"/>
      <c r="H55" s="149">
        <f>IF(OR(H4="Diplôme Universitaire",H4="Formation courte"),MIN(708,708/500*'Recettes et simulat'!D28),708)</f>
        <v>708</v>
      </c>
      <c r="I55" s="149">
        <f>H55*$E$7</f>
        <v>14160</v>
      </c>
      <c r="J55" s="150">
        <f>I55-K55</f>
        <v>9912</v>
      </c>
      <c r="K55" s="151">
        <f>IF($E$7=0,0,I55/$E$7*$E$8)</f>
        <v>4248</v>
      </c>
      <c r="L55" s="259"/>
      <c r="M55" s="260"/>
      <c r="N55" s="260"/>
      <c r="O55" s="70"/>
      <c r="P55" s="157">
        <f>SUM(L55:O55)</f>
        <v>0</v>
      </c>
      <c r="Q55" s="109"/>
      <c r="R55" s="216"/>
      <c r="S55" s="64"/>
    </row>
    <row r="56" spans="1:22" s="108" customFormat="1" ht="18.75" customHeight="1" x14ac:dyDescent="0.25">
      <c r="B56" s="255" t="s">
        <v>157</v>
      </c>
      <c r="C56" s="102" t="s">
        <v>158</v>
      </c>
      <c r="D56" s="265"/>
      <c r="E56" s="265"/>
      <c r="F56" s="265"/>
      <c r="G56" s="265"/>
      <c r="H56" s="149">
        <f>IF(OR(H4="Diplôme Universitaire",H4="Formation courte"),MIN(90,90/500*'Recettes et simulat'!D28),90)</f>
        <v>90</v>
      </c>
      <c r="I56" s="149">
        <f>H56*$E$7</f>
        <v>1800</v>
      </c>
      <c r="J56" s="150">
        <f>I56-K56</f>
        <v>1260</v>
      </c>
      <c r="K56" s="151">
        <f>IF($E$7=0,0,I56/$E$7*$E$8)</f>
        <v>540</v>
      </c>
      <c r="L56" s="259"/>
      <c r="M56" s="260"/>
      <c r="N56" s="260"/>
      <c r="O56" s="70"/>
      <c r="P56" s="157">
        <f>SUM(L56:O56)</f>
        <v>0</v>
      </c>
      <c r="Q56" s="109"/>
      <c r="R56" s="216"/>
      <c r="S56" s="64"/>
    </row>
    <row r="57" spans="1:22" s="108" customFormat="1" ht="18.75" customHeight="1" thickBot="1" x14ac:dyDescent="0.3">
      <c r="B57" s="255" t="s">
        <v>159</v>
      </c>
      <c r="C57" s="102" t="s">
        <v>160</v>
      </c>
      <c r="D57" s="265"/>
      <c r="E57" s="265"/>
      <c r="F57" s="265"/>
      <c r="G57" s="265"/>
      <c r="H57" s="149">
        <f>IF(OR(H4="Diplôme Universitaire",H4="Formation courte"),MIN(86,86/500*'Recettes et simulat'!D28),86)</f>
        <v>86</v>
      </c>
      <c r="I57" s="149">
        <f>H57*$E$7</f>
        <v>1720</v>
      </c>
      <c r="J57" s="150">
        <f>I57-K57</f>
        <v>1204</v>
      </c>
      <c r="K57" s="151">
        <f>IF($E$7=0,0,I57/$E$7*$E$8)</f>
        <v>516</v>
      </c>
      <c r="L57" s="259"/>
      <c r="M57" s="260"/>
      <c r="N57" s="260"/>
      <c r="O57" s="70"/>
      <c r="P57" s="157">
        <f>SUM(L57:O57)</f>
        <v>0</v>
      </c>
      <c r="Q57" s="109"/>
      <c r="R57" s="216"/>
      <c r="S57" s="64"/>
      <c r="U57" s="64"/>
      <c r="V57" s="64"/>
    </row>
    <row r="58" spans="1:22" s="64" customFormat="1" ht="19.2" customHeight="1" thickBot="1" x14ac:dyDescent="0.3">
      <c r="B58" s="127" t="s">
        <v>161</v>
      </c>
      <c r="C58" s="128"/>
      <c r="D58" s="129"/>
      <c r="E58" s="129"/>
      <c r="F58" s="129"/>
      <c r="G58" s="129"/>
      <c r="H58" s="237"/>
      <c r="I58" s="132">
        <f t="shared" ref="I58:P58" si="8">SUM(I59:I61)</f>
        <v>19280</v>
      </c>
      <c r="J58" s="133">
        <f t="shared" si="8"/>
        <v>13496</v>
      </c>
      <c r="K58" s="134">
        <f t="shared" si="8"/>
        <v>5784</v>
      </c>
      <c r="L58" s="132">
        <f t="shared" si="8"/>
        <v>0</v>
      </c>
      <c r="M58" s="131">
        <f t="shared" si="8"/>
        <v>0</v>
      </c>
      <c r="N58" s="131">
        <f t="shared" si="8"/>
        <v>0</v>
      </c>
      <c r="O58" s="132">
        <f t="shared" si="8"/>
        <v>0</v>
      </c>
      <c r="P58" s="134">
        <f t="shared" si="8"/>
        <v>0</v>
      </c>
      <c r="Q58" s="266"/>
      <c r="R58" s="216"/>
    </row>
    <row r="59" spans="1:22" s="64" customFormat="1" ht="16.95" customHeight="1" x14ac:dyDescent="0.25">
      <c r="B59" s="84" t="s">
        <v>162</v>
      </c>
      <c r="C59" s="217" t="s">
        <v>163</v>
      </c>
      <c r="D59" s="218"/>
      <c r="E59" s="218"/>
      <c r="F59" s="218"/>
      <c r="G59" s="218"/>
      <c r="H59" s="149">
        <f>IF(OR(H4="Diplôme Universitaire",H4="Formation courte"),MIN(222,222/500*'Recettes et simulat'!D28),222)</f>
        <v>222</v>
      </c>
      <c r="I59" s="149">
        <f>H59*$E$7</f>
        <v>4440</v>
      </c>
      <c r="J59" s="150">
        <f>I59-K59</f>
        <v>3108</v>
      </c>
      <c r="K59" s="151">
        <f>IF($E$7=0,0,I59/$E$7*$E$8)</f>
        <v>1332</v>
      </c>
      <c r="L59" s="259"/>
      <c r="M59" s="260"/>
      <c r="N59" s="260"/>
      <c r="O59" s="70"/>
      <c r="P59" s="157">
        <f>SUM(L59:O59)</f>
        <v>0</v>
      </c>
      <c r="Q59" s="109"/>
      <c r="R59" s="267"/>
    </row>
    <row r="60" spans="1:22" s="64" customFormat="1" ht="16.95" customHeight="1" x14ac:dyDescent="0.25">
      <c r="B60" s="84" t="s">
        <v>164</v>
      </c>
      <c r="C60" s="217" t="s">
        <v>165</v>
      </c>
      <c r="D60" s="218"/>
      <c r="E60" s="218"/>
      <c r="F60" s="218"/>
      <c r="G60" s="218"/>
      <c r="H60" s="149">
        <f>IF(OR(H4="Diplôme Universitaire",H4="Formation courte"),MIN(550,550/500*'Recettes et simulat'!D28),550)</f>
        <v>550</v>
      </c>
      <c r="I60" s="149">
        <f>H60*$E$7</f>
        <v>11000</v>
      </c>
      <c r="J60" s="150">
        <f>I60-K60</f>
        <v>7700</v>
      </c>
      <c r="K60" s="151">
        <f>IF($E$7=0,0,I60/$E$7*$E$8)</f>
        <v>3300</v>
      </c>
      <c r="L60" s="259"/>
      <c r="M60" s="260"/>
      <c r="N60" s="260"/>
      <c r="O60" s="70"/>
      <c r="P60" s="157">
        <f>SUM(L60:O60)</f>
        <v>0</v>
      </c>
      <c r="Q60" s="109"/>
      <c r="R60" s="216"/>
    </row>
    <row r="61" spans="1:22" s="64" customFormat="1" ht="16.95" customHeight="1" thickBot="1" x14ac:dyDescent="0.3">
      <c r="B61" s="84" t="s">
        <v>166</v>
      </c>
      <c r="C61" s="217" t="s">
        <v>167</v>
      </c>
      <c r="D61" s="218"/>
      <c r="E61" s="218"/>
      <c r="F61" s="218"/>
      <c r="G61" s="218"/>
      <c r="H61" s="149">
        <f>IF(OR(H4="Diplôme Universitaire",H4="Formation courte"),MIN(192,192/500*'Recettes et simulat'!D28),192)</f>
        <v>192</v>
      </c>
      <c r="I61" s="149">
        <f>H61*$E$7</f>
        <v>3840</v>
      </c>
      <c r="J61" s="150">
        <f>I61-K61</f>
        <v>2688</v>
      </c>
      <c r="K61" s="151">
        <f>IF($E$7=0,0,I61/$E$7*$E$8)</f>
        <v>1152</v>
      </c>
      <c r="L61" s="259"/>
      <c r="M61" s="260"/>
      <c r="N61" s="260"/>
      <c r="O61" s="70"/>
      <c r="P61" s="157">
        <f>SUM(L61:O61)</f>
        <v>0</v>
      </c>
      <c r="Q61" s="109"/>
      <c r="R61" s="216"/>
    </row>
    <row r="62" spans="1:22" s="64" customFormat="1" ht="21.45" customHeight="1" thickBot="1" x14ac:dyDescent="0.3">
      <c r="B62" s="127" t="s">
        <v>168</v>
      </c>
      <c r="C62" s="128"/>
      <c r="D62" s="129"/>
      <c r="E62" s="129"/>
      <c r="F62" s="129"/>
      <c r="G62" s="129"/>
      <c r="H62" s="237"/>
      <c r="I62" s="132">
        <f t="shared" ref="I62:P62" si="9">I53+I58</f>
        <v>38832</v>
      </c>
      <c r="J62" s="133">
        <f t="shared" si="9"/>
        <v>25872</v>
      </c>
      <c r="K62" s="134">
        <f t="shared" si="9"/>
        <v>12960</v>
      </c>
      <c r="L62" s="132">
        <f t="shared" si="9"/>
        <v>0</v>
      </c>
      <c r="M62" s="131">
        <f t="shared" si="9"/>
        <v>0</v>
      </c>
      <c r="N62" s="131">
        <f t="shared" si="9"/>
        <v>0</v>
      </c>
      <c r="O62" s="132">
        <f t="shared" si="9"/>
        <v>0</v>
      </c>
      <c r="P62" s="134">
        <f t="shared" si="9"/>
        <v>0</v>
      </c>
      <c r="Q62" s="136">
        <f>IF($K$75=0,0,K62/$K$75)</f>
        <v>0.30315789473684213</v>
      </c>
      <c r="R62" s="268" t="s">
        <v>114</v>
      </c>
      <c r="S62" s="269">
        <f>IF((K62+K49)=0,0,K62/(K62+K49))</f>
        <v>0.30911901081916537</v>
      </c>
      <c r="T62" s="137" t="s">
        <v>169</v>
      </c>
      <c r="U62" s="61"/>
    </row>
    <row r="63" spans="1:22" ht="21" customHeight="1" thickBot="1" x14ac:dyDescent="0.3">
      <c r="A63" s="64"/>
      <c r="B63" s="242"/>
      <c r="C63" s="270"/>
      <c r="D63" s="270"/>
      <c r="E63" s="244"/>
      <c r="F63" s="244"/>
      <c r="G63" s="244"/>
      <c r="H63" s="65" t="s">
        <v>170</v>
      </c>
      <c r="I63" s="236">
        <f>IF(E7=0,0,I62/E7)</f>
        <v>1941.6</v>
      </c>
      <c r="J63" s="236">
        <f>IF((E7-E8)=0,0,J62/(E7-E8))</f>
        <v>1848</v>
      </c>
      <c r="K63" s="246">
        <f>IF(E8=0,0,K62/E8)</f>
        <v>2160</v>
      </c>
      <c r="L63" s="184"/>
      <c r="M63" s="184"/>
      <c r="N63" s="184"/>
      <c r="O63" s="184"/>
      <c r="P63" s="184"/>
      <c r="Q63" s="64"/>
      <c r="R63" s="64"/>
      <c r="S63" s="64"/>
      <c r="T63" s="107"/>
      <c r="U63" s="64"/>
      <c r="V63" s="64"/>
    </row>
    <row r="64" spans="1:22" s="64" customFormat="1" ht="12" customHeight="1" thickBot="1" x14ac:dyDescent="0.3">
      <c r="B64" s="271"/>
      <c r="C64" s="272"/>
      <c r="D64" s="272"/>
      <c r="E64" s="272"/>
      <c r="F64" s="272"/>
      <c r="G64" s="272"/>
      <c r="H64" s="272"/>
      <c r="I64" s="273"/>
      <c r="J64" s="273"/>
      <c r="K64" s="274"/>
      <c r="L64" s="275"/>
      <c r="M64" s="275"/>
      <c r="N64" s="275"/>
      <c r="O64" s="275"/>
      <c r="P64" s="275"/>
      <c r="Q64" s="276"/>
      <c r="R64" s="60"/>
    </row>
    <row r="65" spans="2:24" s="64" customFormat="1" ht="24.45" customHeight="1" thickBot="1" x14ac:dyDescent="0.3">
      <c r="B65" s="277" t="s">
        <v>171</v>
      </c>
      <c r="C65" s="277"/>
      <c r="D65" s="278"/>
      <c r="E65" s="279"/>
      <c r="F65" s="278"/>
      <c r="G65" s="280"/>
      <c r="H65" s="281"/>
      <c r="I65" s="282">
        <f t="shared" ref="I65:P65" si="10">I62+I49</f>
        <v>106364</v>
      </c>
      <c r="J65" s="282">
        <f t="shared" si="10"/>
        <v>64438.400000000001</v>
      </c>
      <c r="K65" s="283">
        <f t="shared" si="10"/>
        <v>41925.599999999999</v>
      </c>
      <c r="L65" s="282">
        <f t="shared" si="10"/>
        <v>0</v>
      </c>
      <c r="M65" s="282">
        <f t="shared" si="10"/>
        <v>0</v>
      </c>
      <c r="N65" s="282">
        <f t="shared" si="10"/>
        <v>0</v>
      </c>
      <c r="O65" s="282">
        <f t="shared" si="10"/>
        <v>0</v>
      </c>
      <c r="P65" s="283">
        <f t="shared" si="10"/>
        <v>0</v>
      </c>
      <c r="Q65" s="136">
        <f>IF($K$75=0,0,K65/$K$75)</f>
        <v>0.98071578947368421</v>
      </c>
      <c r="R65" s="137" t="s">
        <v>114</v>
      </c>
      <c r="U65" s="108"/>
      <c r="V65" s="108"/>
    </row>
    <row r="66" spans="2:24" s="108" customFormat="1" ht="18" customHeight="1" x14ac:dyDescent="0.25">
      <c r="B66" s="182"/>
      <c r="C66" s="257"/>
      <c r="D66" s="284"/>
      <c r="E66" s="284"/>
      <c r="F66" s="284"/>
      <c r="G66" s="285"/>
      <c r="H66" s="285" t="s">
        <v>172</v>
      </c>
      <c r="I66" s="286">
        <f>IF(E7=0,0,I65/$E$7)</f>
        <v>5318.2</v>
      </c>
      <c r="J66" s="287">
        <f>IF(($E$7-$E$8)=0,0,J65/($E$7-$E$8))</f>
        <v>4602.7428571428572</v>
      </c>
      <c r="K66" s="288">
        <f>IF(E8=0,0,K65/$E$8)</f>
        <v>6987.5999999999995</v>
      </c>
      <c r="L66" s="289"/>
      <c r="M66" s="289"/>
      <c r="N66" s="289"/>
      <c r="O66" s="290"/>
      <c r="P66" s="290"/>
      <c r="Q66" s="109"/>
      <c r="R66" s="216"/>
      <c r="S66" s="64"/>
    </row>
    <row r="67" spans="2:24" s="108" customFormat="1" ht="18.45" customHeight="1" thickBot="1" x14ac:dyDescent="0.3">
      <c r="B67" s="189"/>
      <c r="C67" s="291"/>
      <c r="D67" s="292"/>
      <c r="E67" s="292"/>
      <c r="F67" s="292"/>
      <c r="G67" s="293"/>
      <c r="H67" s="293" t="s">
        <v>173</v>
      </c>
      <c r="I67" s="227">
        <f>IF('Contrôles SCFC'!I11=0,0,I65/'Contrôles SCFC'!I11)</f>
        <v>231.47769314472254</v>
      </c>
      <c r="J67" s="227">
        <f>IF('Contrôles SCFC'!J11=0,0,J65/'Contrôles SCFC'!J11)</f>
        <v>236.94943923515353</v>
      </c>
      <c r="K67" s="227">
        <f>IF('Contrôles SCFC'!K11=0,0,K65/'Contrôles SCFC'!K11)</f>
        <v>223.54358837643292</v>
      </c>
      <c r="L67" s="227" t="e">
        <f>IF(#REF!=0,0,L65/#REF!)</f>
        <v>#REF!</v>
      </c>
      <c r="M67" s="227" t="e">
        <f>IF(#REF!=0,0,M65/#REF!)</f>
        <v>#REF!</v>
      </c>
      <c r="N67" s="227" t="e">
        <f>IF(#REF!=0,0,N65/#REF!)</f>
        <v>#REF!</v>
      </c>
      <c r="O67" s="227" t="e">
        <f>IF(#REF!=0,0,O65/#REF!)</f>
        <v>#REF!</v>
      </c>
      <c r="P67" s="333" t="e">
        <f>IF(#REF!=0,0,P65/#REF!)</f>
        <v>#REF!</v>
      </c>
      <c r="Q67" s="334"/>
      <c r="R67" s="216"/>
      <c r="S67" s="64"/>
      <c r="U67" s="64"/>
      <c r="V67" s="64"/>
    </row>
    <row r="68" spans="2:24" ht="14.4" thickBot="1" x14ac:dyDescent="0.3">
      <c r="B68" s="294"/>
      <c r="C68" s="294"/>
      <c r="D68" s="294"/>
      <c r="E68" s="294"/>
      <c r="F68" s="64"/>
      <c r="G68" s="64"/>
      <c r="H68" s="64"/>
      <c r="I68" s="64"/>
      <c r="J68" s="64"/>
      <c r="K68" s="64"/>
      <c r="L68" s="64"/>
      <c r="M68" s="64"/>
      <c r="N68" s="64"/>
      <c r="O68" s="64"/>
      <c r="P68" s="64"/>
      <c r="Q68" s="295"/>
      <c r="R68" s="60"/>
      <c r="S68" s="64"/>
      <c r="T68" s="64"/>
      <c r="U68" s="60"/>
      <c r="V68" s="64"/>
      <c r="W68" s="64"/>
      <c r="X68" s="64"/>
    </row>
    <row r="69" spans="2:24" ht="24.45" customHeight="1" thickBot="1" x14ac:dyDescent="0.3">
      <c r="B69" s="681" t="s">
        <v>174</v>
      </c>
      <c r="C69" s="682"/>
      <c r="D69" s="682"/>
      <c r="E69" s="682"/>
      <c r="F69" s="682"/>
      <c r="G69" s="682"/>
      <c r="H69" s="682"/>
      <c r="I69" s="682"/>
      <c r="J69" s="682"/>
      <c r="K69" s="683"/>
      <c r="L69" s="110"/>
      <c r="M69" s="111"/>
      <c r="N69" s="111"/>
      <c r="O69" s="111"/>
      <c r="P69" s="112"/>
      <c r="Q69" s="60"/>
      <c r="R69" s="60"/>
      <c r="S69" s="64"/>
      <c r="T69" s="60"/>
      <c r="U69" s="64"/>
      <c r="V69" s="64"/>
      <c r="W69" s="64"/>
      <c r="X69" s="64"/>
    </row>
    <row r="70" spans="2:24" ht="12" customHeight="1" thickBot="1" x14ac:dyDescent="0.3">
      <c r="B70" s="296"/>
      <c r="C70" s="64"/>
      <c r="D70" s="64"/>
      <c r="E70" s="64"/>
      <c r="F70" s="64"/>
      <c r="G70" s="64"/>
      <c r="H70" s="97"/>
      <c r="I70" s="297"/>
      <c r="J70" s="297"/>
      <c r="K70" s="298"/>
      <c r="L70" s="299"/>
      <c r="M70" s="299"/>
      <c r="N70" s="299"/>
      <c r="O70" s="299"/>
      <c r="P70" s="299"/>
      <c r="Q70" s="62"/>
      <c r="R70" s="60"/>
      <c r="S70" s="64"/>
      <c r="T70" s="64"/>
      <c r="U70" s="60"/>
      <c r="V70" s="60"/>
      <c r="W70" s="64"/>
      <c r="X70" s="64"/>
    </row>
    <row r="71" spans="2:24" s="60" customFormat="1" ht="55.8" thickBot="1" x14ac:dyDescent="0.3">
      <c r="B71" s="249" t="s">
        <v>175</v>
      </c>
      <c r="C71" s="250" t="s">
        <v>176</v>
      </c>
      <c r="D71" s="251"/>
      <c r="E71" s="251"/>
      <c r="F71" s="251"/>
      <c r="G71" s="251"/>
      <c r="H71" s="300"/>
      <c r="I71" s="301" t="s">
        <v>107</v>
      </c>
      <c r="J71" s="119" t="s">
        <v>108</v>
      </c>
      <c r="K71" s="120" t="s">
        <v>151</v>
      </c>
      <c r="L71" s="252" t="s">
        <v>110</v>
      </c>
      <c r="M71" s="118" t="s">
        <v>111</v>
      </c>
      <c r="N71" s="118" t="s">
        <v>112</v>
      </c>
      <c r="O71" s="302" t="s">
        <v>113</v>
      </c>
      <c r="P71" s="303" t="s">
        <v>23</v>
      </c>
      <c r="Q71" s="253"/>
      <c r="R71" s="126"/>
      <c r="U71" s="64"/>
      <c r="V71" s="64"/>
    </row>
    <row r="72" spans="2:24" ht="24" customHeight="1" x14ac:dyDescent="0.25">
      <c r="B72" s="205" t="s">
        <v>177</v>
      </c>
      <c r="C72" s="256" t="s">
        <v>178</v>
      </c>
      <c r="D72" s="304"/>
      <c r="E72" s="304"/>
      <c r="F72" s="304"/>
      <c r="G72" s="304"/>
      <c r="H72" s="305"/>
      <c r="I72" s="306">
        <f>J72+K72</f>
        <v>46152</v>
      </c>
      <c r="J72" s="306">
        <f>'Recettes et simulat'!H16</f>
        <v>3402</v>
      </c>
      <c r="K72" s="307">
        <f>'Recettes et simulat'!K28</f>
        <v>42750</v>
      </c>
      <c r="L72" s="211"/>
      <c r="M72" s="212"/>
      <c r="N72" s="308"/>
      <c r="O72" s="308"/>
      <c r="P72" s="214">
        <f>SUM(L72:O72)</f>
        <v>0</v>
      </c>
      <c r="Q72" s="60"/>
      <c r="R72" s="60"/>
      <c r="S72" s="64"/>
      <c r="T72" s="64"/>
      <c r="U72" s="64"/>
      <c r="V72" s="64"/>
      <c r="W72" s="64"/>
      <c r="X72" s="60"/>
    </row>
    <row r="73" spans="2:24" ht="27" customHeight="1" thickBot="1" x14ac:dyDescent="0.3">
      <c r="B73" s="222" t="s">
        <v>179</v>
      </c>
      <c r="C73" s="223" t="s">
        <v>334</v>
      </c>
      <c r="D73" s="309"/>
      <c r="E73" s="309"/>
      <c r="F73" s="309"/>
      <c r="G73" s="309"/>
      <c r="H73" s="310"/>
      <c r="I73" s="311">
        <f>J73+K73</f>
        <v>0</v>
      </c>
      <c r="J73" s="312"/>
      <c r="K73" s="313">
        <f>'Recettes et simulat'!F39</f>
        <v>0</v>
      </c>
      <c r="L73" s="229"/>
      <c r="M73" s="230"/>
      <c r="N73" s="230"/>
      <c r="O73" s="314"/>
      <c r="P73" s="232">
        <f>SUM(L73:O73)</f>
        <v>0</v>
      </c>
      <c r="Q73" s="60"/>
      <c r="R73" s="60"/>
      <c r="S73" s="64"/>
      <c r="T73" s="64"/>
      <c r="U73" s="64"/>
      <c r="V73" s="64"/>
      <c r="W73" s="64"/>
      <c r="X73" s="60"/>
    </row>
    <row r="74" spans="2:24" ht="12" customHeight="1" thickBot="1" x14ac:dyDescent="0.3">
      <c r="B74" s="315"/>
      <c r="C74" s="316"/>
      <c r="D74" s="317"/>
      <c r="E74" s="316"/>
      <c r="F74" s="317"/>
      <c r="G74" s="317"/>
      <c r="H74" s="317"/>
      <c r="I74" s="318"/>
      <c r="J74" s="318"/>
      <c r="K74" s="319"/>
      <c r="L74" s="318"/>
      <c r="M74" s="318"/>
      <c r="N74" s="318"/>
      <c r="O74" s="318"/>
      <c r="P74" s="318"/>
      <c r="Q74" s="320"/>
      <c r="R74" s="321"/>
      <c r="S74" s="322"/>
      <c r="T74" s="64"/>
      <c r="U74" s="64"/>
      <c r="V74" s="64"/>
      <c r="W74" s="64"/>
      <c r="X74" s="60"/>
    </row>
    <row r="75" spans="2:24" s="64" customFormat="1" ht="24.45" customHeight="1" thickBot="1" x14ac:dyDescent="0.3">
      <c r="B75" s="277" t="s">
        <v>180</v>
      </c>
      <c r="C75" s="277"/>
      <c r="D75" s="278"/>
      <c r="E75" s="279"/>
      <c r="F75" s="278"/>
      <c r="G75" s="280"/>
      <c r="H75" s="281"/>
      <c r="I75" s="282">
        <f t="shared" ref="I75:P75" si="11">I72+I73</f>
        <v>46152</v>
      </c>
      <c r="J75" s="282">
        <f t="shared" si="11"/>
        <v>3402</v>
      </c>
      <c r="K75" s="283">
        <f t="shared" si="11"/>
        <v>42750</v>
      </c>
      <c r="L75" s="282">
        <f t="shared" si="11"/>
        <v>0</v>
      </c>
      <c r="M75" s="282">
        <f t="shared" si="11"/>
        <v>0</v>
      </c>
      <c r="N75" s="282">
        <f t="shared" si="11"/>
        <v>0</v>
      </c>
      <c r="O75" s="282">
        <f t="shared" si="11"/>
        <v>0</v>
      </c>
      <c r="P75" s="283">
        <f t="shared" si="11"/>
        <v>0</v>
      </c>
      <c r="U75" s="108"/>
      <c r="V75" s="108"/>
      <c r="X75" s="60"/>
    </row>
    <row r="76" spans="2:24" s="108" customFormat="1" ht="18" customHeight="1" thickBot="1" x14ac:dyDescent="0.3">
      <c r="B76" s="242"/>
      <c r="C76" s="270"/>
      <c r="D76" s="323"/>
      <c r="E76" s="323"/>
      <c r="F76" s="323"/>
      <c r="G76" s="324"/>
      <c r="H76" s="324" t="s">
        <v>181</v>
      </c>
      <c r="I76" s="325"/>
      <c r="J76" s="325"/>
      <c r="K76" s="326">
        <f>IF(E8=0,0,K75/$E$8)</f>
        <v>7125</v>
      </c>
      <c r="L76" s="289"/>
      <c r="M76" s="289"/>
      <c r="N76" s="289"/>
      <c r="O76" s="290"/>
      <c r="P76" s="290"/>
      <c r="Q76" s="109"/>
      <c r="R76" s="216"/>
      <c r="S76" s="64"/>
    </row>
    <row r="77" spans="2:24" s="64" customFormat="1" ht="14.4" thickBot="1" x14ac:dyDescent="0.3">
      <c r="C77" s="294"/>
      <c r="D77" s="294"/>
      <c r="E77" s="294"/>
      <c r="F77" s="294"/>
      <c r="G77" s="294"/>
      <c r="H77" s="294"/>
      <c r="I77" s="327"/>
      <c r="J77" s="327"/>
      <c r="K77" s="327"/>
      <c r="L77" s="327"/>
      <c r="M77" s="327"/>
      <c r="N77" s="327"/>
      <c r="O77" s="327"/>
      <c r="P77" s="327"/>
      <c r="Q77" s="61"/>
      <c r="R77" s="60"/>
    </row>
    <row r="78" spans="2:24" s="64" customFormat="1" ht="24.45" customHeight="1" thickBot="1" x14ac:dyDescent="0.3">
      <c r="B78" s="277" t="s">
        <v>182</v>
      </c>
      <c r="C78" s="277"/>
      <c r="D78" s="278"/>
      <c r="E78" s="279"/>
      <c r="F78" s="278"/>
      <c r="G78" s="280"/>
      <c r="H78" s="281"/>
      <c r="I78" s="282">
        <f t="shared" ref="I78:P78" si="12">I75-I65</f>
        <v>-60212</v>
      </c>
      <c r="J78" s="282">
        <f t="shared" si="12"/>
        <v>-61036.4</v>
      </c>
      <c r="K78" s="283">
        <f t="shared" si="12"/>
        <v>824.40000000000146</v>
      </c>
      <c r="L78" s="282">
        <f t="shared" si="12"/>
        <v>0</v>
      </c>
      <c r="M78" s="282">
        <f t="shared" si="12"/>
        <v>0</v>
      </c>
      <c r="N78" s="282">
        <f t="shared" si="12"/>
        <v>0</v>
      </c>
      <c r="O78" s="282">
        <f t="shared" si="12"/>
        <v>0</v>
      </c>
      <c r="P78" s="283">
        <f t="shared" si="12"/>
        <v>0</v>
      </c>
      <c r="Q78" s="136">
        <f>IF($K$75=0,0,K78/$K$75)</f>
        <v>1.9284210526315824E-2</v>
      </c>
      <c r="R78" s="137" t="s">
        <v>114</v>
      </c>
      <c r="U78" s="108"/>
      <c r="V78" s="108"/>
      <c r="X78" s="60"/>
    </row>
  </sheetData>
  <sheetProtection algorithmName="SHA-512" hashValue="062HZcKquGwqUsfQqGUs0BW8h7jVHp8MV84NQ0m7veAlOGTcC12RZstFnP+GOE1pqKymwGlijTxkwxbMQVpkyw==" saltValue="LW6XoRTYwYQW5O6t0kZZDw==" spinCount="100000" sheet="1" formatRows="0" autoFilter="0"/>
  <mergeCells count="27">
    <mergeCell ref="B26:F26"/>
    <mergeCell ref="C28:F28"/>
    <mergeCell ref="C29:F29"/>
    <mergeCell ref="B31:F31"/>
    <mergeCell ref="B69:K69"/>
    <mergeCell ref="C34:F34"/>
    <mergeCell ref="C35:F35"/>
    <mergeCell ref="C25:F25"/>
    <mergeCell ref="H7:K7"/>
    <mergeCell ref="B10:K10"/>
    <mergeCell ref="C12:F12"/>
    <mergeCell ref="C15:F15"/>
    <mergeCell ref="C16:F16"/>
    <mergeCell ref="C17:F17"/>
    <mergeCell ref="C18:F18"/>
    <mergeCell ref="B19:F19"/>
    <mergeCell ref="C22:F22"/>
    <mergeCell ref="C23:F23"/>
    <mergeCell ref="C24:F24"/>
    <mergeCell ref="B2:K2"/>
    <mergeCell ref="L2:P2"/>
    <mergeCell ref="D4:E4"/>
    <mergeCell ref="H4:K4"/>
    <mergeCell ref="D6:E6"/>
    <mergeCell ref="H6:K6"/>
    <mergeCell ref="H5:K5"/>
    <mergeCell ref="D5:E5"/>
  </mergeCells>
  <printOptions horizontalCentered="1" verticalCentered="1"/>
  <pageMargins left="0.25" right="0.25" top="0.75" bottom="0.75" header="0.3" footer="0.3"/>
  <pageSetup paperSize="8" scale="56" orientation="portrait"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Paramétrage!$Q$6:$Q$11</xm:f>
          </x14:formula1>
          <xm:sqref>C34:F35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P59"/>
  <sheetViews>
    <sheetView showGridLines="0" showZeros="0" zoomScaleNormal="100" zoomScaleSheetLayoutView="70" workbookViewId="0">
      <pane ySplit="9" topLeftCell="A41" activePane="bottomLeft" state="frozen"/>
      <selection pane="bottomLeft" activeCell="L57" sqref="L57"/>
    </sheetView>
  </sheetViews>
  <sheetFormatPr baseColWidth="10" defaultColWidth="11.44140625" defaultRowHeight="13.2" x14ac:dyDescent="0.25"/>
  <cols>
    <col min="1" max="1" width="1.33203125" customWidth="1"/>
    <col min="2" max="2" width="5.6640625" customWidth="1"/>
    <col min="3" max="3" width="15" customWidth="1"/>
    <col min="4" max="4" width="6" customWidth="1"/>
    <col min="5" max="5" width="15.6640625" customWidth="1"/>
    <col min="6" max="6" width="8" customWidth="1"/>
    <col min="7" max="7" width="14.109375" customWidth="1"/>
    <col min="8" max="8" width="15.44140625" customWidth="1"/>
    <col min="9" max="9" width="12.44140625" customWidth="1"/>
    <col min="10" max="10" width="13.33203125" customWidth="1"/>
    <col min="11" max="11" width="7" bestFit="1" customWidth="1"/>
    <col min="12" max="12" width="28.77734375" bestFit="1" customWidth="1"/>
    <col min="13" max="13" width="6.6640625" customWidth="1"/>
    <col min="14" max="14" width="11.33203125" customWidth="1"/>
    <col min="15" max="15" width="24.44140625" bestFit="1" customWidth="1"/>
  </cols>
  <sheetData>
    <row r="1" spans="1:16" ht="7.2" customHeight="1" thickBot="1" x14ac:dyDescent="0.3">
      <c r="A1" s="64"/>
      <c r="B1" s="64"/>
      <c r="C1" s="64"/>
      <c r="D1" s="64"/>
      <c r="E1" s="64"/>
      <c r="F1" s="64"/>
      <c r="G1" s="64"/>
      <c r="H1" s="97"/>
      <c r="I1" s="98"/>
      <c r="J1" s="97"/>
      <c r="K1" s="60"/>
      <c r="L1" s="60"/>
      <c r="M1" s="64"/>
      <c r="N1" s="64"/>
      <c r="O1" s="64"/>
      <c r="P1" s="64"/>
    </row>
    <row r="2" spans="1:16" ht="28.2" customHeight="1" thickBot="1" x14ac:dyDescent="0.3">
      <c r="A2" s="64"/>
      <c r="B2" s="681" t="s">
        <v>99</v>
      </c>
      <c r="C2" s="682"/>
      <c r="D2" s="682"/>
      <c r="E2" s="682"/>
      <c r="F2" s="682"/>
      <c r="G2" s="682"/>
      <c r="H2" s="682"/>
      <c r="I2" s="682"/>
      <c r="J2" s="683"/>
      <c r="K2" s="60"/>
      <c r="L2" s="60"/>
      <c r="M2" s="64"/>
      <c r="N2" s="64"/>
      <c r="O2" s="64"/>
      <c r="P2" s="64"/>
    </row>
    <row r="3" spans="1:16" ht="15" customHeight="1" x14ac:dyDescent="0.25">
      <c r="A3" s="64"/>
      <c r="B3" s="100"/>
      <c r="C3" s="100"/>
      <c r="D3" s="100"/>
      <c r="E3" s="100"/>
      <c r="F3" s="100"/>
      <c r="G3" s="100"/>
      <c r="H3" s="100"/>
      <c r="I3" s="100"/>
      <c r="J3" s="100"/>
      <c r="K3" s="60"/>
      <c r="M3" s="64"/>
      <c r="N3" s="64"/>
      <c r="O3" s="64"/>
      <c r="P3" s="64"/>
    </row>
    <row r="4" spans="1:16" ht="22.2" customHeight="1" x14ac:dyDescent="0.25">
      <c r="A4" s="64"/>
      <c r="B4" s="64"/>
      <c r="C4" s="101" t="s">
        <v>57</v>
      </c>
      <c r="D4" s="719" t="str">
        <f>'Recettes et simulat'!D4</f>
        <v>Université Lumière Lyon 2</v>
      </c>
      <c r="E4" s="720"/>
      <c r="F4" s="64"/>
      <c r="G4" s="101" t="s">
        <v>59</v>
      </c>
      <c r="H4" s="719" t="str">
        <f>'Recettes et simulat'!H4</f>
        <v>Master</v>
      </c>
      <c r="I4" s="721"/>
      <c r="J4" s="720"/>
      <c r="K4" s="60"/>
      <c r="L4" s="68" t="s">
        <v>63</v>
      </c>
      <c r="M4" s="64"/>
      <c r="N4" s="64"/>
      <c r="P4" s="64"/>
    </row>
    <row r="5" spans="1:16" ht="22.2" customHeight="1" x14ac:dyDescent="0.25">
      <c r="A5" s="64"/>
      <c r="B5" s="64"/>
      <c r="C5" s="101" t="s">
        <v>272</v>
      </c>
      <c r="D5" s="719" t="str">
        <f>'Recettes et simulat'!D5</f>
        <v>Lyon 2</v>
      </c>
      <c r="E5" s="720"/>
      <c r="F5" s="64"/>
      <c r="G5" s="65" t="s">
        <v>271</v>
      </c>
      <c r="H5" s="719" t="str">
        <f>'Recettes et simulat'!H5</f>
        <v>non</v>
      </c>
      <c r="I5" s="721"/>
      <c r="J5" s="720"/>
      <c r="K5" s="60"/>
      <c r="L5" s="60"/>
      <c r="M5" s="64"/>
      <c r="N5" s="64"/>
      <c r="O5" s="64"/>
      <c r="P5" s="64"/>
    </row>
    <row r="6" spans="1:16" ht="22.2" customHeight="1" x14ac:dyDescent="0.25">
      <c r="A6" s="64"/>
      <c r="B6" s="64"/>
      <c r="C6" s="101" t="s">
        <v>60</v>
      </c>
      <c r="D6" s="719" t="str">
        <f>'Recettes et simulat'!D6</f>
        <v>RNCP34127</v>
      </c>
      <c r="E6" s="720"/>
      <c r="F6" s="64"/>
      <c r="G6" s="101" t="s">
        <v>61</v>
      </c>
      <c r="H6" s="719" t="str">
        <f>'Recettes et simulat'!H6</f>
        <v>Droit des Affaires_
Droit de la propriété intellectuelle - créations artistiques et esthétiques</v>
      </c>
      <c r="I6" s="721"/>
      <c r="J6" s="720"/>
      <c r="K6" s="60"/>
      <c r="L6" s="60"/>
      <c r="M6" s="64"/>
      <c r="N6" s="64"/>
      <c r="O6" s="64"/>
      <c r="P6" s="64"/>
    </row>
    <row r="7" spans="1:16" ht="22.2" customHeight="1" x14ac:dyDescent="0.25">
      <c r="A7" s="64"/>
      <c r="B7" s="64"/>
      <c r="C7" s="102" t="s">
        <v>0</v>
      </c>
      <c r="D7" s="103"/>
      <c r="E7" s="104">
        <f>'Recettes et simulat'!E7</f>
        <v>20</v>
      </c>
      <c r="F7" s="64"/>
      <c r="G7" s="101" t="s">
        <v>62</v>
      </c>
      <c r="H7" s="719" t="str">
        <f>'Recettes et simulat'!H7</f>
        <v>FJVD - Faculté de Droit Julie-Victoire Daubié</v>
      </c>
      <c r="I7" s="721"/>
      <c r="J7" s="720"/>
      <c r="K7" s="60"/>
      <c r="L7" s="60"/>
      <c r="M7" s="64"/>
      <c r="N7" s="64"/>
      <c r="O7" s="64"/>
      <c r="P7" s="64"/>
    </row>
    <row r="8" spans="1:16" ht="22.2" customHeight="1" x14ac:dyDescent="0.25">
      <c r="A8" s="64"/>
      <c r="B8" s="64"/>
      <c r="C8" s="102" t="s">
        <v>1</v>
      </c>
      <c r="D8" s="103"/>
      <c r="E8" s="104">
        <f>'Recettes et simulat'!E8</f>
        <v>6</v>
      </c>
      <c r="F8" s="64"/>
      <c r="G8" s="69" t="s">
        <v>64</v>
      </c>
      <c r="H8" s="64"/>
      <c r="I8" s="105">
        <f>'Recettes et simulat'!J8</f>
        <v>2024</v>
      </c>
      <c r="J8" s="105">
        <f>'Recettes et simulat'!K8</f>
        <v>2025</v>
      </c>
      <c r="N8" s="64"/>
      <c r="O8" s="64"/>
      <c r="P8" s="64"/>
    </row>
    <row r="9" spans="1:16" ht="16.2" customHeight="1" thickBot="1" x14ac:dyDescent="0.3">
      <c r="A9" s="64"/>
      <c r="B9" s="64"/>
      <c r="C9" s="64"/>
      <c r="D9" s="64"/>
      <c r="E9" s="64"/>
      <c r="F9" s="64"/>
      <c r="G9" s="106"/>
      <c r="H9" s="64"/>
      <c r="I9" s="64"/>
      <c r="J9" s="64"/>
      <c r="K9" s="60"/>
      <c r="L9" s="60"/>
      <c r="M9" s="64"/>
      <c r="N9" s="64"/>
      <c r="O9" s="107"/>
      <c r="P9" s="107"/>
    </row>
    <row r="10" spans="1:16" ht="24.45" customHeight="1" thickBot="1" x14ac:dyDescent="0.3">
      <c r="A10" s="64"/>
      <c r="D10" s="681" t="s">
        <v>325</v>
      </c>
      <c r="E10" s="682"/>
      <c r="F10" s="682"/>
      <c r="G10" s="682"/>
      <c r="H10" s="682"/>
      <c r="I10" s="683"/>
      <c r="J10" s="60"/>
      <c r="K10" s="64"/>
      <c r="L10" s="60"/>
    </row>
    <row r="11" spans="1:16" s="60" customFormat="1" ht="12.45" customHeight="1" thickBot="1" x14ac:dyDescent="0.3">
      <c r="D11" s="113"/>
      <c r="E11" s="114"/>
      <c r="F11" s="114"/>
      <c r="G11" s="114"/>
      <c r="H11" s="114"/>
      <c r="I11" s="115"/>
    </row>
    <row r="12" spans="1:16" s="64" customFormat="1" ht="37.200000000000003" customHeight="1" thickBot="1" x14ac:dyDescent="0.3">
      <c r="D12" s="116" t="s">
        <v>103</v>
      </c>
      <c r="E12" s="734" t="s">
        <v>104</v>
      </c>
      <c r="F12" s="735"/>
      <c r="G12" s="735"/>
      <c r="H12" s="735"/>
      <c r="I12" s="736"/>
      <c r="J12" s="60"/>
      <c r="K12" s="60"/>
    </row>
    <row r="13" spans="1:16" s="108" customFormat="1" ht="21.45" customHeight="1" thickBot="1" x14ac:dyDescent="0.3">
      <c r="D13" s="127" t="s">
        <v>274</v>
      </c>
      <c r="E13" s="128"/>
      <c r="F13" s="129"/>
      <c r="G13" s="129"/>
      <c r="H13" s="129"/>
      <c r="I13" s="134">
        <f t="shared" ref="I13" si="0">I19+I31+I26</f>
        <v>61372</v>
      </c>
      <c r="J13" s="60"/>
      <c r="K13" s="60"/>
    </row>
    <row r="14" spans="1:16" s="64" customFormat="1" ht="16.95" customHeight="1" x14ac:dyDescent="0.25">
      <c r="D14" s="138" t="s">
        <v>115</v>
      </c>
      <c r="E14" s="139" t="s">
        <v>116</v>
      </c>
      <c r="F14" s="140"/>
      <c r="G14" s="140"/>
      <c r="H14" s="141"/>
      <c r="I14" s="534"/>
      <c r="J14" s="147"/>
      <c r="K14" s="77"/>
    </row>
    <row r="15" spans="1:16" s="108" customFormat="1" ht="16.95" customHeight="1" x14ac:dyDescent="0.25">
      <c r="D15" s="148" t="s">
        <v>2</v>
      </c>
      <c r="E15" s="722" t="s">
        <v>3</v>
      </c>
      <c r="F15" s="723"/>
      <c r="G15" s="723"/>
      <c r="H15" s="724"/>
      <c r="I15" s="153">
        <f>'Budget détaillé'!I15</f>
        <v>33790</v>
      </c>
      <c r="J15" s="154"/>
      <c r="K15" s="154"/>
    </row>
    <row r="16" spans="1:16" s="108" customFormat="1" ht="16.95" customHeight="1" x14ac:dyDescent="0.25">
      <c r="D16" s="148" t="s">
        <v>4</v>
      </c>
      <c r="E16" s="722" t="s">
        <v>5</v>
      </c>
      <c r="F16" s="723"/>
      <c r="G16" s="723"/>
      <c r="H16" s="724"/>
      <c r="I16" s="153">
        <f>'Budget détaillé'!I16</f>
        <v>0</v>
      </c>
    </row>
    <row r="17" spans="4:12" s="108" customFormat="1" ht="16.95" customHeight="1" x14ac:dyDescent="0.25">
      <c r="D17" s="148" t="s">
        <v>6</v>
      </c>
      <c r="E17" s="722" t="s">
        <v>7</v>
      </c>
      <c r="F17" s="723"/>
      <c r="G17" s="723"/>
      <c r="H17" s="724"/>
      <c r="I17" s="153">
        <f>'Budget détaillé'!I17</f>
        <v>12908</v>
      </c>
      <c r="J17" s="154"/>
    </row>
    <row r="18" spans="4:12" s="108" customFormat="1" ht="18.45" customHeight="1" x14ac:dyDescent="0.25">
      <c r="D18" s="148" t="s">
        <v>8</v>
      </c>
      <c r="E18" s="722" t="s">
        <v>9</v>
      </c>
      <c r="F18" s="723"/>
      <c r="G18" s="723"/>
      <c r="H18" s="724"/>
      <c r="I18" s="153">
        <f>'Budget détaillé'!I18</f>
        <v>0</v>
      </c>
      <c r="J18" s="154"/>
      <c r="K18" s="154"/>
    </row>
    <row r="19" spans="4:12" s="108" customFormat="1" ht="22.2" customHeight="1" thickBot="1" x14ac:dyDescent="0.3">
      <c r="D19" s="728" t="s">
        <v>10</v>
      </c>
      <c r="E19" s="729"/>
      <c r="F19" s="729"/>
      <c r="G19" s="729"/>
      <c r="H19" s="730"/>
      <c r="I19" s="164">
        <f t="shared" ref="I19" si="1">SUM(I15:I18)</f>
        <v>46698</v>
      </c>
      <c r="J19" s="60"/>
      <c r="K19" s="60"/>
    </row>
    <row r="20" spans="4:12" s="64" customFormat="1" ht="16.95" customHeight="1" x14ac:dyDescent="0.25">
      <c r="D20" s="138" t="s">
        <v>11</v>
      </c>
      <c r="E20" s="139" t="s">
        <v>12</v>
      </c>
      <c r="F20" s="140"/>
      <c r="G20" s="140"/>
      <c r="H20" s="141"/>
      <c r="I20" s="534"/>
      <c r="J20" s="60"/>
      <c r="K20" s="108"/>
    </row>
    <row r="21" spans="4:12" s="108" customFormat="1" ht="16.95" customHeight="1" x14ac:dyDescent="0.25">
      <c r="D21" s="148" t="s">
        <v>13</v>
      </c>
      <c r="E21" s="372" t="s">
        <v>14</v>
      </c>
      <c r="F21" s="374"/>
      <c r="G21" s="374"/>
      <c r="H21" s="375"/>
      <c r="I21" s="153">
        <f>'Budget détaillé'!I21</f>
        <v>0</v>
      </c>
      <c r="J21" s="173"/>
      <c r="L21" s="77"/>
    </row>
    <row r="22" spans="4:12" s="108" customFormat="1" ht="16.95" customHeight="1" x14ac:dyDescent="0.25">
      <c r="D22" s="148" t="s">
        <v>15</v>
      </c>
      <c r="E22" s="722" t="s">
        <v>16</v>
      </c>
      <c r="F22" s="723"/>
      <c r="G22" s="723"/>
      <c r="H22" s="724"/>
      <c r="I22" s="153">
        <f>'Budget détaillé'!I22</f>
        <v>0</v>
      </c>
      <c r="J22" s="154"/>
      <c r="L22" s="77"/>
    </row>
    <row r="23" spans="4:12" s="108" customFormat="1" ht="16.95" customHeight="1" x14ac:dyDescent="0.25">
      <c r="D23" s="148" t="s">
        <v>17</v>
      </c>
      <c r="E23" s="722" t="s">
        <v>18</v>
      </c>
      <c r="F23" s="723"/>
      <c r="G23" s="723"/>
      <c r="H23" s="724"/>
      <c r="I23" s="153">
        <f>'Budget détaillé'!I23</f>
        <v>0</v>
      </c>
      <c r="J23" s="154"/>
      <c r="L23" s="77"/>
    </row>
    <row r="24" spans="4:12" s="108" customFormat="1" ht="16.95" customHeight="1" x14ac:dyDescent="0.25">
      <c r="D24" s="148" t="s">
        <v>19</v>
      </c>
      <c r="E24" s="722" t="s">
        <v>20</v>
      </c>
      <c r="F24" s="723"/>
      <c r="G24" s="723"/>
      <c r="H24" s="724"/>
      <c r="I24" s="153">
        <f>'Budget détaillé'!I24</f>
        <v>10314</v>
      </c>
      <c r="J24" s="154"/>
      <c r="L24" s="77"/>
    </row>
    <row r="25" spans="4:12" s="108" customFormat="1" ht="16.95" customHeight="1" x14ac:dyDescent="0.25">
      <c r="D25" s="148" t="s">
        <v>21</v>
      </c>
      <c r="E25" s="722" t="s">
        <v>22</v>
      </c>
      <c r="F25" s="723"/>
      <c r="G25" s="723"/>
      <c r="H25" s="724"/>
      <c r="I25" s="153">
        <f>'Budget détaillé'!I25</f>
        <v>0</v>
      </c>
      <c r="J25" s="154"/>
      <c r="L25" s="77"/>
    </row>
    <row r="26" spans="4:12" s="108" customFormat="1" ht="21.45" customHeight="1" thickBot="1" x14ac:dyDescent="0.3">
      <c r="D26" s="728" t="s">
        <v>117</v>
      </c>
      <c r="E26" s="729"/>
      <c r="F26" s="729"/>
      <c r="G26" s="729"/>
      <c r="H26" s="730"/>
      <c r="I26" s="349">
        <f t="shared" ref="I26" si="2">SUM(I21:I25)</f>
        <v>10314</v>
      </c>
      <c r="J26" s="107"/>
    </row>
    <row r="27" spans="4:12" s="108" customFormat="1" ht="16.95" customHeight="1" x14ac:dyDescent="0.25">
      <c r="D27" s="138" t="s">
        <v>118</v>
      </c>
      <c r="E27" s="139" t="s">
        <v>119</v>
      </c>
      <c r="F27" s="140"/>
      <c r="G27" s="140"/>
      <c r="H27" s="141"/>
      <c r="I27" s="534"/>
      <c r="J27" s="173"/>
      <c r="K27" s="174">
        <f>IF($I27=0,0,IF(#REF!=0,0,#REF!*#REF!/$I27*#REF!/#REF!))</f>
        <v>0</v>
      </c>
    </row>
    <row r="28" spans="4:12" s="108" customFormat="1" ht="16.95" customHeight="1" x14ac:dyDescent="0.25">
      <c r="D28" s="148" t="s">
        <v>120</v>
      </c>
      <c r="E28" s="722" t="s">
        <v>121</v>
      </c>
      <c r="F28" s="723"/>
      <c r="G28" s="723"/>
      <c r="H28" s="724"/>
      <c r="I28" s="153">
        <f>'Budget détaillé'!I28</f>
        <v>4360</v>
      </c>
      <c r="J28" s="154"/>
      <c r="K28" s="154"/>
      <c r="L28" s="178"/>
    </row>
    <row r="29" spans="4:12" s="108" customFormat="1" ht="16.95" customHeight="1" x14ac:dyDescent="0.25">
      <c r="D29" s="148" t="s">
        <v>122</v>
      </c>
      <c r="E29" s="722" t="s">
        <v>123</v>
      </c>
      <c r="F29" s="723"/>
      <c r="G29" s="723"/>
      <c r="H29" s="724"/>
      <c r="I29" s="153">
        <f>'Budget détaillé'!I29</f>
        <v>0</v>
      </c>
      <c r="J29" s="154"/>
      <c r="K29" s="154"/>
      <c r="L29" s="178"/>
    </row>
    <row r="30" spans="4:12" s="108" customFormat="1" ht="16.95" customHeight="1" x14ac:dyDescent="0.25">
      <c r="D30" s="148" t="s">
        <v>124</v>
      </c>
      <c r="E30" s="373" t="s">
        <v>48</v>
      </c>
      <c r="F30" s="374"/>
      <c r="G30" s="374"/>
      <c r="H30" s="375"/>
      <c r="I30" s="153">
        <f>'Budget détaillé'!I30</f>
        <v>0</v>
      </c>
      <c r="J30" s="154"/>
      <c r="K30" s="154"/>
      <c r="L30" s="178"/>
    </row>
    <row r="31" spans="4:12" s="108" customFormat="1" ht="21" customHeight="1" thickBot="1" x14ac:dyDescent="0.3">
      <c r="D31" s="728" t="s">
        <v>125</v>
      </c>
      <c r="E31" s="729"/>
      <c r="F31" s="729"/>
      <c r="G31" s="729"/>
      <c r="H31" s="730"/>
      <c r="I31" s="349">
        <f t="shared" ref="I31" si="3">SUM(I28:I30)</f>
        <v>4360</v>
      </c>
      <c r="J31" s="107"/>
      <c r="K31" s="61"/>
    </row>
    <row r="32" spans="4:12" s="108" customFormat="1" ht="21" customHeight="1" thickBot="1" x14ac:dyDescent="0.3">
      <c r="D32" s="127" t="s">
        <v>275</v>
      </c>
      <c r="E32" s="128"/>
      <c r="F32" s="129"/>
      <c r="G32" s="129"/>
      <c r="H32" s="129"/>
      <c r="I32" s="204">
        <f>SUM(I33:I34)</f>
        <v>0</v>
      </c>
      <c r="J32" s="187"/>
      <c r="K32" s="107"/>
    </row>
    <row r="33" spans="4:12" s="108" customFormat="1" ht="21" customHeight="1" x14ac:dyDescent="0.25">
      <c r="D33" s="148" t="s">
        <v>276</v>
      </c>
      <c r="E33" s="722">
        <f>'Budget détaillé'!C34</f>
        <v>0</v>
      </c>
      <c r="F33" s="723">
        <f>'Budget détaillé'!F34</f>
        <v>0</v>
      </c>
      <c r="G33" s="723">
        <f>'Budget détaillé'!G34</f>
        <v>0</v>
      </c>
      <c r="H33" s="724">
        <f>'Budget détaillé'!H34</f>
        <v>0</v>
      </c>
      <c r="I33" s="153">
        <f>'Budget détaillé'!I34</f>
        <v>0</v>
      </c>
      <c r="J33" s="187"/>
      <c r="K33" s="107"/>
    </row>
    <row r="34" spans="4:12" s="108" customFormat="1" ht="19.2" customHeight="1" thickBot="1" x14ac:dyDescent="0.3">
      <c r="D34" s="148" t="s">
        <v>278</v>
      </c>
      <c r="E34" s="722">
        <f>'Budget détaillé'!C35</f>
        <v>0</v>
      </c>
      <c r="F34" s="723">
        <f>'Budget détaillé'!F35</f>
        <v>0</v>
      </c>
      <c r="G34" s="723">
        <f>'Budget détaillé'!G35</f>
        <v>0</v>
      </c>
      <c r="H34" s="724">
        <f>'Budget détaillé'!H35</f>
        <v>0</v>
      </c>
      <c r="I34" s="153">
        <f>'Budget détaillé'!I35</f>
        <v>0</v>
      </c>
      <c r="J34" s="187"/>
      <c r="K34" s="107"/>
    </row>
    <row r="35" spans="4:12" s="64" customFormat="1" ht="21.45" customHeight="1" thickBot="1" x14ac:dyDescent="0.3">
      <c r="D35" s="127" t="s">
        <v>146</v>
      </c>
      <c r="E35" s="128"/>
      <c r="F35" s="129"/>
      <c r="G35" s="129"/>
      <c r="H35" s="129"/>
      <c r="I35" s="535">
        <f>I13+I32</f>
        <v>61372</v>
      </c>
      <c r="K35" s="61"/>
    </row>
    <row r="36" spans="4:12" s="108" customFormat="1" ht="12" customHeight="1" thickBot="1" x14ac:dyDescent="0.3">
      <c r="D36" s="233"/>
      <c r="G36" s="235"/>
      <c r="H36" s="235"/>
      <c r="I36" s="248"/>
      <c r="J36" s="107"/>
      <c r="K36" s="60"/>
    </row>
    <row r="37" spans="4:12" s="60" customFormat="1" ht="37.200000000000003" customHeight="1" thickBot="1" x14ac:dyDescent="0.3">
      <c r="D37" s="249" t="s">
        <v>148</v>
      </c>
      <c r="E37" s="250" t="s">
        <v>321</v>
      </c>
      <c r="F37" s="251"/>
      <c r="G37" s="251"/>
      <c r="H37" s="251"/>
      <c r="I37" s="120"/>
      <c r="K37" s="64"/>
    </row>
    <row r="38" spans="4:12" s="60" customFormat="1" ht="16.95" customHeight="1" x14ac:dyDescent="0.25">
      <c r="D38" s="84" t="s">
        <v>308</v>
      </c>
      <c r="E38" s="217" t="s">
        <v>101</v>
      </c>
      <c r="F38" s="218"/>
      <c r="G38" s="218"/>
      <c r="H38" s="536"/>
      <c r="I38" s="220">
        <f>IF(AND(H5="oui",D5="Lyon 2")=TRUE,$I$48*Paramétrage!O7/2,$I$48*Paramétrage!O7)</f>
        <v>5130</v>
      </c>
      <c r="K38" s="64"/>
    </row>
    <row r="39" spans="4:12" s="60" customFormat="1" ht="16.95" customHeight="1" x14ac:dyDescent="0.25">
      <c r="D39" s="84" t="s">
        <v>309</v>
      </c>
      <c r="E39" s="217" t="s">
        <v>57</v>
      </c>
      <c r="F39" s="218"/>
      <c r="G39" s="218"/>
      <c r="H39" s="537"/>
      <c r="I39" s="220">
        <f>IF(AND(H5="oui",D5="Lyon 2")=TRUE,$I$48*Paramétrage!O8/2,$I$48*Paramétrage!O8)</f>
        <v>1710</v>
      </c>
      <c r="K39" s="64"/>
    </row>
    <row r="40" spans="4:12" s="60" customFormat="1" ht="16.95" customHeight="1" thickBot="1" x14ac:dyDescent="0.3">
      <c r="D40" s="84" t="s">
        <v>310</v>
      </c>
      <c r="E40" s="217" t="s">
        <v>295</v>
      </c>
      <c r="F40" s="218"/>
      <c r="G40" s="218"/>
      <c r="H40" s="538"/>
      <c r="I40" s="220">
        <f>IF(D5="Lyon 2",$I$48*Paramétrage!O9,0)</f>
        <v>1710</v>
      </c>
      <c r="K40" s="64"/>
    </row>
    <row r="41" spans="4:12" s="64" customFormat="1" ht="19.95" customHeight="1" thickBot="1" x14ac:dyDescent="0.3">
      <c r="D41" s="127" t="s">
        <v>312</v>
      </c>
      <c r="E41" s="128"/>
      <c r="F41" s="129"/>
      <c r="G41" s="129"/>
      <c r="H41" s="129"/>
      <c r="I41" s="134">
        <f>SUM(I38:I40)</f>
        <v>8550</v>
      </c>
    </row>
    <row r="42" spans="4:12" s="64" customFormat="1" ht="12" customHeight="1" thickBot="1" x14ac:dyDescent="0.3">
      <c r="D42" s="271"/>
      <c r="E42" s="272"/>
      <c r="F42" s="272"/>
      <c r="G42" s="272"/>
      <c r="H42" s="272"/>
      <c r="I42" s="274"/>
    </row>
    <row r="43" spans="4:12" s="64" customFormat="1" ht="24.45" customHeight="1" thickBot="1" x14ac:dyDescent="0.3">
      <c r="D43" s="277" t="s">
        <v>311</v>
      </c>
      <c r="E43" s="277"/>
      <c r="F43" s="278"/>
      <c r="G43" s="279"/>
      <c r="H43" s="278"/>
      <c r="I43" s="532">
        <f>I41+I35</f>
        <v>69922</v>
      </c>
      <c r="K43" s="108"/>
    </row>
    <row r="44" spans="4:12" ht="14.4" thickBot="1" x14ac:dyDescent="0.3">
      <c r="D44" s="294"/>
      <c r="E44" s="294"/>
      <c r="F44" s="294"/>
      <c r="G44" s="294"/>
      <c r="H44" s="64"/>
      <c r="I44" s="64"/>
      <c r="J44" s="64"/>
      <c r="K44" s="60"/>
      <c r="L44" s="64"/>
    </row>
    <row r="45" spans="4:12" ht="24.45" customHeight="1" thickBot="1" x14ac:dyDescent="0.3">
      <c r="D45" s="681" t="s">
        <v>174</v>
      </c>
      <c r="E45" s="682"/>
      <c r="F45" s="682"/>
      <c r="G45" s="682"/>
      <c r="H45" s="682"/>
      <c r="I45" s="683"/>
      <c r="J45" s="60"/>
      <c r="K45" s="64"/>
      <c r="L45" s="64"/>
    </row>
    <row r="46" spans="4:12" ht="12" customHeight="1" thickBot="1" x14ac:dyDescent="0.3">
      <c r="D46" s="296"/>
      <c r="E46" s="64"/>
      <c r="F46" s="64"/>
      <c r="G46" s="64"/>
      <c r="H46" s="64"/>
      <c r="I46" s="297"/>
      <c r="J46" s="296"/>
      <c r="K46" s="60"/>
      <c r="L46" s="64"/>
    </row>
    <row r="47" spans="4:12" s="60" customFormat="1" ht="36.450000000000003" customHeight="1" thickBot="1" x14ac:dyDescent="0.3">
      <c r="D47" s="249" t="s">
        <v>175</v>
      </c>
      <c r="E47" s="250" t="s">
        <v>174</v>
      </c>
      <c r="F47" s="251"/>
      <c r="G47" s="251"/>
      <c r="H47" s="251"/>
      <c r="I47" s="120"/>
      <c r="K47" s="64"/>
    </row>
    <row r="48" spans="4:12" ht="24" customHeight="1" x14ac:dyDescent="0.25">
      <c r="D48" s="558" t="s">
        <v>177</v>
      </c>
      <c r="E48" s="559" t="s">
        <v>322</v>
      </c>
      <c r="F48" s="560"/>
      <c r="G48" s="560"/>
      <c r="H48" s="560"/>
      <c r="I48" s="153">
        <f>'Recettes et simulat'!K28</f>
        <v>42750</v>
      </c>
      <c r="J48" s="64"/>
      <c r="K48" s="64"/>
      <c r="L48" s="64"/>
    </row>
    <row r="49" spans="3:12" ht="24" customHeight="1" x14ac:dyDescent="0.25">
      <c r="D49" s="84" t="s">
        <v>179</v>
      </c>
      <c r="E49" s="102" t="s">
        <v>334</v>
      </c>
      <c r="F49" s="561"/>
      <c r="G49" s="561"/>
      <c r="H49" s="562"/>
      <c r="I49" s="153">
        <f>'Recettes et simulat'!F39</f>
        <v>0</v>
      </c>
      <c r="J49" s="64"/>
      <c r="K49" s="64"/>
      <c r="L49" s="64"/>
    </row>
    <row r="50" spans="3:12" ht="12" customHeight="1" thickBot="1" x14ac:dyDescent="0.3">
      <c r="D50" s="315"/>
      <c r="E50" s="316"/>
      <c r="F50" s="317"/>
      <c r="G50" s="316"/>
      <c r="H50" s="317"/>
      <c r="I50" s="318"/>
      <c r="J50" s="296"/>
      <c r="K50" s="64"/>
      <c r="L50" s="64"/>
    </row>
    <row r="51" spans="3:12" s="64" customFormat="1" ht="24.45" customHeight="1" thickBot="1" x14ac:dyDescent="0.3">
      <c r="D51" s="277" t="s">
        <v>329</v>
      </c>
      <c r="E51" s="277"/>
      <c r="F51" s="278"/>
      <c r="G51" s="279"/>
      <c r="H51" s="278"/>
      <c r="I51" s="532">
        <f>I48+I49</f>
        <v>42750</v>
      </c>
      <c r="J51" s="296"/>
      <c r="K51" s="108"/>
    </row>
    <row r="52" spans="3:12" s="64" customFormat="1" ht="14.55" customHeight="1" thickBot="1" x14ac:dyDescent="0.3">
      <c r="K52" s="108"/>
    </row>
    <row r="53" spans="3:12" ht="24" customHeight="1" thickBot="1" x14ac:dyDescent="0.3">
      <c r="C53" s="539"/>
      <c r="D53" s="540" t="s">
        <v>330</v>
      </c>
      <c r="E53" s="541" t="s">
        <v>328</v>
      </c>
      <c r="F53" s="542"/>
      <c r="G53" s="542"/>
      <c r="H53" s="543"/>
      <c r="I53" s="544">
        <f>K53*156</f>
        <v>56550</v>
      </c>
      <c r="J53" s="103" t="s">
        <v>324</v>
      </c>
      <c r="K53" s="593">
        <v>362.5</v>
      </c>
      <c r="L53" s="594" t="s">
        <v>403</v>
      </c>
    </row>
    <row r="54" spans="3:12" s="64" customFormat="1" ht="14.4" thickBot="1" x14ac:dyDescent="0.3">
      <c r="E54" s="294"/>
      <c r="F54" s="294"/>
      <c r="G54" s="294"/>
      <c r="H54" s="294"/>
      <c r="I54" s="327"/>
    </row>
    <row r="55" spans="3:12" s="64" customFormat="1" ht="24.45" customHeight="1" thickBot="1" x14ac:dyDescent="0.3">
      <c r="D55" s="277" t="s">
        <v>313</v>
      </c>
      <c r="E55" s="277"/>
      <c r="F55" s="278"/>
      <c r="G55" s="279"/>
      <c r="H55" s="278"/>
      <c r="I55" s="532">
        <f>I51+I53-I43</f>
        <v>29378</v>
      </c>
      <c r="K55" s="108"/>
    </row>
    <row r="56" spans="3:12" s="60" customFormat="1" ht="9" customHeight="1" thickBot="1" x14ac:dyDescent="0.3">
      <c r="D56" s="550"/>
      <c r="E56" s="550"/>
      <c r="F56" s="550"/>
      <c r="G56" s="551"/>
      <c r="H56" s="550"/>
      <c r="I56" s="552"/>
      <c r="K56" s="188"/>
    </row>
    <row r="57" spans="3:12" ht="24" customHeight="1" thickBot="1" x14ac:dyDescent="0.3">
      <c r="D57" s="205" t="s">
        <v>326</v>
      </c>
      <c r="E57" s="256"/>
      <c r="F57" s="304"/>
      <c r="G57" s="304"/>
      <c r="H57" s="304"/>
      <c r="I57" s="153">
        <f>'Budget détaillé'!I38</f>
        <v>6160</v>
      </c>
      <c r="J57" s="64"/>
      <c r="K57" s="64"/>
      <c r="L57" s="64"/>
    </row>
    <row r="58" spans="3:12" s="60" customFormat="1" ht="9" customHeight="1" thickBot="1" x14ac:dyDescent="0.3">
      <c r="D58" s="550"/>
      <c r="E58" s="550"/>
      <c r="F58" s="550"/>
      <c r="G58" s="551"/>
      <c r="H58" s="550"/>
      <c r="I58" s="552"/>
      <c r="K58" s="188"/>
    </row>
    <row r="59" spans="3:12" ht="24" customHeight="1" thickBot="1" x14ac:dyDescent="0.3">
      <c r="D59" s="277" t="s">
        <v>327</v>
      </c>
      <c r="E59" s="278"/>
      <c r="F59" s="278"/>
      <c r="G59" s="279"/>
      <c r="H59" s="278"/>
      <c r="I59" s="532">
        <f>+I55-I57</f>
        <v>23218</v>
      </c>
    </row>
  </sheetData>
  <sheetProtection formatRows="0" autoFilter="0"/>
  <mergeCells count="26">
    <mergeCell ref="E34:H34"/>
    <mergeCell ref="D10:I10"/>
    <mergeCell ref="D45:I45"/>
    <mergeCell ref="D26:H26"/>
    <mergeCell ref="E28:H28"/>
    <mergeCell ref="E29:H29"/>
    <mergeCell ref="D31:H31"/>
    <mergeCell ref="E33:H33"/>
    <mergeCell ref="E25:H25"/>
    <mergeCell ref="D19:H19"/>
    <mergeCell ref="E22:H22"/>
    <mergeCell ref="E23:H23"/>
    <mergeCell ref="E24:H24"/>
    <mergeCell ref="H7:J7"/>
    <mergeCell ref="E15:H15"/>
    <mergeCell ref="E16:H16"/>
    <mergeCell ref="E17:H17"/>
    <mergeCell ref="E18:H18"/>
    <mergeCell ref="E12:I12"/>
    <mergeCell ref="B2:J2"/>
    <mergeCell ref="D4:E4"/>
    <mergeCell ref="H4:J4"/>
    <mergeCell ref="D6:E6"/>
    <mergeCell ref="H6:J6"/>
    <mergeCell ref="H5:J5"/>
    <mergeCell ref="D5:E5"/>
  </mergeCells>
  <printOptions horizontalCentered="1" verticalCentered="1"/>
  <pageMargins left="0.25" right="0.25" top="0.75" bottom="0.75" header="0.3" footer="0.3"/>
  <pageSetup paperSize="8" scale="5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1:I29"/>
  <sheetViews>
    <sheetView workbookViewId="0">
      <selection activeCell="M18" sqref="M18"/>
    </sheetView>
  </sheetViews>
  <sheetFormatPr baseColWidth="10" defaultColWidth="11.44140625" defaultRowHeight="13.2" x14ac:dyDescent="0.25"/>
  <cols>
    <col min="1" max="1" width="11.44140625" style="1"/>
    <col min="2" max="2" width="43.33203125" style="1" bestFit="1" customWidth="1"/>
    <col min="3" max="4" width="11.44140625" style="1"/>
    <col min="5" max="5" width="12.109375" style="1" customWidth="1"/>
    <col min="6" max="6" width="11.44140625" style="1"/>
    <col min="7" max="7" width="18.77734375" style="1" customWidth="1"/>
    <col min="8" max="16384" width="11.44140625" style="1"/>
  </cols>
  <sheetData>
    <row r="1" spans="2:9" x14ac:dyDescent="0.25">
      <c r="B1" s="737" t="s">
        <v>298</v>
      </c>
      <c r="C1" s="738"/>
    </row>
    <row r="3" spans="2:9" x14ac:dyDescent="0.25">
      <c r="C3" s="4" t="s">
        <v>296</v>
      </c>
    </row>
    <row r="4" spans="2:9" x14ac:dyDescent="0.25">
      <c r="B4" s="520" t="s">
        <v>291</v>
      </c>
      <c r="C4" s="521">
        <f>C5+C6</f>
        <v>61372</v>
      </c>
    </row>
    <row r="5" spans="2:9" x14ac:dyDescent="0.25">
      <c r="B5" s="4" t="s">
        <v>292</v>
      </c>
      <c r="C5" s="519">
        <f>'Budget détaillé'!I13</f>
        <v>61372</v>
      </c>
    </row>
    <row r="6" spans="2:9" x14ac:dyDescent="0.25">
      <c r="B6" s="4" t="s">
        <v>293</v>
      </c>
      <c r="C6" s="519">
        <f>'Budget détaillé'!I33</f>
        <v>0</v>
      </c>
      <c r="G6" s="5" t="s">
        <v>302</v>
      </c>
      <c r="H6" s="533">
        <f>'Recettes et simulat'!E7</f>
        <v>20</v>
      </c>
    </row>
    <row r="7" spans="2:9" x14ac:dyDescent="0.25">
      <c r="B7" s="520" t="s">
        <v>294</v>
      </c>
      <c r="C7" s="521">
        <f>SUM(C8:C10)</f>
        <v>8550</v>
      </c>
      <c r="G7" s="5" t="s">
        <v>307</v>
      </c>
      <c r="H7" s="4">
        <f>H6-H8</f>
        <v>5</v>
      </c>
      <c r="I7" s="530">
        <f>IFERROR(H7/H6,0)</f>
        <v>0.25</v>
      </c>
    </row>
    <row r="8" spans="2:9" x14ac:dyDescent="0.25">
      <c r="B8" s="4" t="s">
        <v>101</v>
      </c>
      <c r="C8" s="519">
        <f>Paramétrage!O7*'comparatif simplifié'!$C$12</f>
        <v>5130</v>
      </c>
      <c r="G8" s="5" t="s">
        <v>305</v>
      </c>
      <c r="H8" s="4">
        <f>H10+H11</f>
        <v>15</v>
      </c>
      <c r="I8" s="530">
        <f>IFERROR(H8/H6,0)</f>
        <v>0.75</v>
      </c>
    </row>
    <row r="9" spans="2:9" x14ac:dyDescent="0.25">
      <c r="B9" s="4" t="s">
        <v>57</v>
      </c>
      <c r="C9" s="519">
        <f>Paramétrage!O8*'comparatif simplifié'!$C$12</f>
        <v>1710</v>
      </c>
    </row>
    <row r="10" spans="2:9" x14ac:dyDescent="0.25">
      <c r="B10" s="4" t="s">
        <v>295</v>
      </c>
      <c r="C10" s="519">
        <f>Paramétrage!O9*'comparatif simplifié'!$C$12</f>
        <v>1710</v>
      </c>
      <c r="G10" s="5" t="s">
        <v>303</v>
      </c>
      <c r="H10" s="533">
        <v>15</v>
      </c>
    </row>
    <row r="11" spans="2:9" x14ac:dyDescent="0.25">
      <c r="B11" s="520" t="s">
        <v>299</v>
      </c>
      <c r="C11" s="521">
        <f>C7+C4</f>
        <v>69922</v>
      </c>
      <c r="G11" s="5" t="s">
        <v>304</v>
      </c>
      <c r="H11" s="533">
        <v>0</v>
      </c>
    </row>
    <row r="12" spans="2:9" x14ac:dyDescent="0.25">
      <c r="B12" s="520" t="s">
        <v>297</v>
      </c>
      <c r="C12" s="521">
        <f>'Recettes et simulat'!K28</f>
        <v>42750</v>
      </c>
      <c r="G12" s="5" t="s">
        <v>335</v>
      </c>
      <c r="H12" s="533">
        <v>0</v>
      </c>
    </row>
    <row r="13" spans="2:9" x14ac:dyDescent="0.25">
      <c r="B13" s="520" t="s">
        <v>323</v>
      </c>
      <c r="C13" s="521">
        <f>'Excédent mobilisable'!I53</f>
        <v>56550</v>
      </c>
    </row>
    <row r="14" spans="2:9" x14ac:dyDescent="0.25">
      <c r="B14" s="554" t="s">
        <v>298</v>
      </c>
      <c r="C14" s="555">
        <f>C12-C11+C13</f>
        <v>29378</v>
      </c>
      <c r="G14" s="4" t="s">
        <v>317</v>
      </c>
      <c r="H14" s="533">
        <v>350</v>
      </c>
    </row>
    <row r="15" spans="2:9" x14ac:dyDescent="0.25">
      <c r="G15" s="4" t="s">
        <v>318</v>
      </c>
      <c r="H15" s="533">
        <v>24</v>
      </c>
    </row>
    <row r="17" spans="2:8" x14ac:dyDescent="0.25">
      <c r="B17" s="737" t="s">
        <v>314</v>
      </c>
      <c r="C17" s="739"/>
      <c r="D17" s="739"/>
      <c r="E17" s="738"/>
    </row>
    <row r="19" spans="2:8" x14ac:dyDescent="0.25">
      <c r="C19" s="5" t="s">
        <v>107</v>
      </c>
      <c r="D19" s="5" t="s">
        <v>192</v>
      </c>
      <c r="E19" s="5" t="s">
        <v>296</v>
      </c>
    </row>
    <row r="20" spans="2:8" x14ac:dyDescent="0.25">
      <c r="B20" s="4" t="s">
        <v>291</v>
      </c>
      <c r="C20" s="519">
        <f>'Budget détaillé'!I13+'Budget détaillé'!I33</f>
        <v>61372</v>
      </c>
      <c r="D20" s="519">
        <f>'Budget détaillé'!J13+'Budget détaillé'!J33</f>
        <v>33146.400000000001</v>
      </c>
      <c r="E20" s="519">
        <f>'Budget détaillé'!K13+'Budget détaillé'!K33</f>
        <v>28225.599999999999</v>
      </c>
    </row>
    <row r="21" spans="2:8" x14ac:dyDescent="0.25">
      <c r="B21" s="4" t="s">
        <v>300</v>
      </c>
      <c r="C21" s="519">
        <f>'Budget détaillé'!I38</f>
        <v>6160</v>
      </c>
      <c r="D21" s="519">
        <f>'Budget détaillé'!J38</f>
        <v>5420</v>
      </c>
      <c r="E21" s="519">
        <f>'Budget détaillé'!K38</f>
        <v>740</v>
      </c>
    </row>
    <row r="22" spans="2:8" x14ac:dyDescent="0.25">
      <c r="B22" s="4" t="s">
        <v>284</v>
      </c>
      <c r="C22" s="519">
        <f>'Budget détaillé'!I62</f>
        <v>38832</v>
      </c>
      <c r="D22" s="519">
        <f>'Budget détaillé'!J62</f>
        <v>25872</v>
      </c>
      <c r="E22" s="519">
        <f>'Budget détaillé'!K62</f>
        <v>12960</v>
      </c>
    </row>
    <row r="23" spans="2:8" x14ac:dyDescent="0.25">
      <c r="B23" s="5" t="s">
        <v>301</v>
      </c>
      <c r="C23" s="519">
        <f>SUM(C20:C22)</f>
        <v>106364</v>
      </c>
      <c r="D23" s="519">
        <f>SUM(D20:D22)</f>
        <v>64438.400000000001</v>
      </c>
      <c r="E23" s="519">
        <f>SUM(E20:E22)</f>
        <v>41925.599999999999</v>
      </c>
    </row>
    <row r="24" spans="2:8" x14ac:dyDescent="0.25">
      <c r="B24" s="5" t="s">
        <v>260</v>
      </c>
      <c r="C24" s="519">
        <f>'Budget détaillé'!I75</f>
        <v>46152</v>
      </c>
      <c r="D24" s="519">
        <f>'Budget détaillé'!J75</f>
        <v>3402</v>
      </c>
      <c r="E24" s="519">
        <f>'Budget détaillé'!K75</f>
        <v>42750</v>
      </c>
    </row>
    <row r="25" spans="2:8" x14ac:dyDescent="0.25">
      <c r="B25" s="556" t="s">
        <v>320</v>
      </c>
      <c r="C25" s="557">
        <f>C24-C23+C21</f>
        <v>-54052</v>
      </c>
      <c r="D25" s="557">
        <f t="shared" ref="D25:E25" si="0">D24-D23+D21</f>
        <v>-55616.4</v>
      </c>
      <c r="E25" s="557">
        <f t="shared" si="0"/>
        <v>1564.4000000000015</v>
      </c>
    </row>
    <row r="26" spans="2:8" x14ac:dyDescent="0.25">
      <c r="B26" s="554" t="s">
        <v>319</v>
      </c>
      <c r="C26" s="555">
        <f>C24-C23</f>
        <v>-60212</v>
      </c>
      <c r="D26" s="555">
        <f>D24-D23</f>
        <v>-61036.4</v>
      </c>
      <c r="E26" s="555">
        <f>E24-E23</f>
        <v>824.40000000000146</v>
      </c>
    </row>
    <row r="27" spans="2:8" ht="26.4" x14ac:dyDescent="0.25">
      <c r="B27" s="553" t="s">
        <v>316</v>
      </c>
      <c r="C27" s="531">
        <f>ROUND('calcul heures'!G23,0)</f>
        <v>460</v>
      </c>
      <c r="D27" s="531">
        <f>ROUND('calcul heures'!H23,0)</f>
        <v>272</v>
      </c>
      <c r="E27" s="531">
        <f>ROUND('calcul heures'!I23,0)</f>
        <v>188</v>
      </c>
      <c r="G27" s="553" t="s">
        <v>315</v>
      </c>
      <c r="H27" s="4">
        <f>IFERROR(ROUND(400*H7/H6,0),0)</f>
        <v>100</v>
      </c>
    </row>
    <row r="28" spans="2:8" x14ac:dyDescent="0.25">
      <c r="B28" s="5" t="s">
        <v>306</v>
      </c>
      <c r="C28" s="531">
        <f>IFERROR(C27/H6,0)</f>
        <v>23</v>
      </c>
      <c r="D28" s="531">
        <f>IFERROR(D27/(H6-H8),0)</f>
        <v>54.4</v>
      </c>
      <c r="E28" s="531">
        <f>IFERROR(E27/H8,0)</f>
        <v>12.533333333333333</v>
      </c>
    </row>
    <row r="29" spans="2:8" x14ac:dyDescent="0.25">
      <c r="D29" s="530"/>
      <c r="E29" s="530"/>
    </row>
  </sheetData>
  <mergeCells count="2">
    <mergeCell ref="B1:C1"/>
    <mergeCell ref="B17:E1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23"/>
  <sheetViews>
    <sheetView workbookViewId="0">
      <selection activeCell="E7" sqref="E7"/>
    </sheetView>
  </sheetViews>
  <sheetFormatPr baseColWidth="10" defaultColWidth="11.44140625" defaultRowHeight="13.2" x14ac:dyDescent="0.25"/>
  <cols>
    <col min="1" max="2" width="11.44140625" style="1"/>
    <col min="3" max="3" width="32.44140625" style="1" bestFit="1" customWidth="1"/>
    <col min="4" max="16384" width="11.44140625" style="1"/>
  </cols>
  <sheetData>
    <row r="2" spans="2:9" ht="13.8" x14ac:dyDescent="0.25">
      <c r="C2" s="437" t="s">
        <v>0</v>
      </c>
      <c r="D2" s="448">
        <f>'Recettes et simulat'!E7</f>
        <v>20</v>
      </c>
    </row>
    <row r="3" spans="2:9" ht="13.8" x14ac:dyDescent="0.25">
      <c r="C3" s="437" t="s">
        <v>1</v>
      </c>
      <c r="D3" s="448">
        <f>'Recettes et simulat'!E8</f>
        <v>6</v>
      </c>
    </row>
    <row r="4" spans="2:9" ht="13.8" thickBot="1" x14ac:dyDescent="0.3"/>
    <row r="5" spans="2:9" ht="13.8" thickBot="1" x14ac:dyDescent="0.3">
      <c r="B5" s="438"/>
      <c r="C5" s="438"/>
      <c r="D5" s="449" t="s">
        <v>192</v>
      </c>
      <c r="E5" s="433" t="s">
        <v>255</v>
      </c>
      <c r="F5" s="434" t="s">
        <v>254</v>
      </c>
      <c r="G5" s="449" t="s">
        <v>107</v>
      </c>
      <c r="H5" s="432" t="s">
        <v>192</v>
      </c>
      <c r="I5" s="450" t="s">
        <v>255</v>
      </c>
    </row>
    <row r="6" spans="2:9" ht="13.95" customHeight="1" x14ac:dyDescent="0.25">
      <c r="B6" s="148" t="s">
        <v>2</v>
      </c>
      <c r="C6" s="439" t="s">
        <v>3</v>
      </c>
      <c r="D6" s="400">
        <f>SUMIFS(Enseignements!$U$9:$U$89,Enseignements!$G$9:$G$89,Paramétrage!$D$6,Enseignements!$AC$9:$AC$89,1)*Paramétrage!$G$6+SUMIFS(Enseignements!$U$9:$U$89,Enseignements!$G$9:$G$89,Paramétrage!$D$7,Enseignements!$AC$9:$AC$89,1)*Paramétrage!$G$7+SUMIFS(Enseignements!$U$9:$U$89,Enseignements!$G$9:$G$89,Paramétrage!$D$8,Enseignements!$AC$9:$AC$89,1)*Paramétrage!$G$8+SUMIFS(Enseignements!$U$9:$U$89,Enseignements!$G$9:$G$89,Paramétrage!$D$10,Enseignements!$AC$9:$AC$89,1)*Paramétrage!$G$10+SUMIFS(Enseignements!$U$9:$U$89,Enseignements!$G$9:$G$89,Paramétrage!$D$11,Enseignements!$AC$9:$AC$89,1)*Paramétrage!$G$11+SUMIFS(Enseignements!$U$9:$U$89,Enseignements!$G$9:$G$89,Paramétrage!$D$13,Enseignements!$AC$9:$AC$89,1)*Paramétrage!$G$13+SUMIFS(Enseignements!$U$9:$U$89,Enseignements!$G$9:$G$89,Paramétrage!$D$14,Enseignements!$AC$9:$AC$89,1)*Paramétrage!$G$14+SUMIFS(Enseignements!$U$9:$U$89,Enseignements!$G$9:$G$89,Paramétrage!$D$16,Enseignements!$AC$9:$AC$89,1)*Paramétrage!$G$16+SUMIFS(Enseignements!$U$9:$U$89,Enseignements!$G$9:$G$89,Paramétrage!$D$17,Enseignements!$AC$9:$AC$89,1)*Paramétrage!$G$17+SUMIFS(Enseignements!$U$9:$U$89,Enseignements!$G$9:$G$89,Paramétrage!$D$19,Enseignements!$AC$9:$AC$89,1)*Paramétrage!$G$19+SUMIFS(Enseignements!$U$9:$U$89,Enseignements!$G$9:$G$89,Paramétrage!$D$20,Enseignements!$AC$9:$AC$89,1)*Paramétrage!$G$20+SUMIFS(Enseignements!$U$9:$U$89,Enseignements!$G$9:$G$89,Paramétrage!$D$23,Enseignements!$AC$9:$AC$89,1)*Paramétrage!$G$23+SUMIFS(Enseignements!$U$9:$U$89,Enseignements!$G$9:$G$89,Paramétrage!$D$24,Enseignements!$AC$9:$AC$89,1)*Paramétrage!$G$24+SUMIFS(Enseignements!$U$9:$U$89,Enseignements!$G$9:$G$89,Paramétrage!$D$26,Enseignements!$AC$9:$AC$89,1)*Paramétrage!$G$26+SUMIFS(Enseignements!$U$9:$U$89,Enseignements!$G$9:$G$89,Paramétrage!$D$27,Enseignements!$AC$9:$AC$89,1)*Paramétrage!$G$27</f>
        <v>0</v>
      </c>
      <c r="E6" s="399">
        <f>SUMIFS(Enseignements!$U$9:$U$89,Enseignements!$G$9:$G$89,Paramétrage!$D$6,Enseignements!$AC$9:$AC$89,2)*Paramétrage!$G$6+SUMIFS(Enseignements!$U$9:$U$89,Enseignements!$G$9:$G$89,Paramétrage!$D$7,Enseignements!$AC$9:$AC$89,2)*Paramétrage!$G$7+SUMIFS(Enseignements!$U$9:$U$89,Enseignements!$G$9:$G$89,Paramétrage!$D$8,Enseignements!$AC$9:$AC$89,2)*Paramétrage!$G$8+SUMIFS(Enseignements!$U$9:$U$89,Enseignements!$G$9:$G$89,Paramétrage!$D$10,Enseignements!$AC$9:$AC$89,2)*Paramétrage!$G$10+SUMIFS(Enseignements!$U$9:$U$89,Enseignements!$G$9:$G$89,Paramétrage!$D$11,Enseignements!$AC$9:$AC$89,2)*Paramétrage!$G$11+SUMIFS(Enseignements!$U$9:$U$89,Enseignements!$G$9:$G$89,Paramétrage!$D$13,Enseignements!$AC$9:$AC$89,2)*Paramétrage!$G$13+SUMIFS(Enseignements!$U$9:$U$89,Enseignements!$G$9:$G$89,Paramétrage!$D$14,Enseignements!$AC$9:$AC$89,2)*Paramétrage!$G$14+SUMIFS(Enseignements!$U$9:$U$89,Enseignements!$G$9:$G$89,Paramétrage!$D$16,Enseignements!$AC$9:$AC$89,2)*Paramétrage!$G$16+SUMIFS(Enseignements!$U$9:$U$89,Enseignements!$G$9:$G$89,Paramétrage!$D$17,Enseignements!$AC$9:$AC$89,2)*Paramétrage!$G$17+SUMIFS(Enseignements!$U$9:$U$89,Enseignements!$G$9:$G$89,Paramétrage!$D$19,Enseignements!$AC$9:$AC$89,2)*Paramétrage!$G$19+SUMIFS(Enseignements!$U$9:$U$89,Enseignements!$G$9:$G$89,Paramétrage!$D$20,Enseignements!$AC$9:$AC$89,2)*Paramétrage!$G$20+SUMIFS(Enseignements!$U$9:$U$89,Enseignements!$G$9:$G$89,Paramétrage!$D$23,Enseignements!$AC$9:$AC$89,2)*Paramétrage!$G$23+SUMIFS(Enseignements!$U$9:$U$89,Enseignements!$G$9:$G$89,Paramétrage!$D$24,Enseignements!$AC$9:$AC$89,2)*Paramétrage!$G$24+SUMIFS(Enseignements!$U$9:$U$89,Enseignements!$G$9:$G$89,Paramétrage!$D$26,Enseignements!$AC$9:$AC$89,2)*Paramétrage!$G$26+SUMIFS(Enseignements!$U$9:$U$89,Enseignements!$G$9:$G$89,Paramétrage!$D$27,Enseignements!$AC$9:$AC$89,2)*Paramétrage!$G$27</f>
        <v>17</v>
      </c>
      <c r="F6" s="402">
        <f>SUMIFS(Enseignements!$U$9:$U$89,Enseignements!$G$9:$G$89,Paramétrage!$D$6,Enseignements!$AC$9:$AC$89,3)*Paramétrage!$G$6+SUMIFS(Enseignements!$U$9:$U$89,Enseignements!$G$9:$G$89,Paramétrage!$D$7,Enseignements!$AC$9:$AC$89,3)*Paramétrage!$G$7+SUMIFS(Enseignements!$U$9:$U$89,Enseignements!$G$9:$G$89,Paramétrage!$D$8,Enseignements!$AC$9:$AC$89,3)*Paramétrage!$G$8+SUMIFS(Enseignements!$U$9:$U$89,Enseignements!$G$9:$G$89,Paramétrage!$D$10,Enseignements!$AC$9:$AC$89,3)*Paramétrage!$G$10+SUMIFS(Enseignements!$U$9:$U$89,Enseignements!$G$9:$G$89,Paramétrage!$D$11,Enseignements!$AC$9:$AC$89,3)*Paramétrage!$G$11+SUMIFS(Enseignements!$U$9:$U$89,Enseignements!$G$9:$G$89,Paramétrage!$D$13,Enseignements!$AC$9:$AC$89,3)*Paramétrage!$G$13+SUMIFS(Enseignements!$U$9:$U$89,Enseignements!$G$9:$G$89,Paramétrage!$D$14,Enseignements!$AC$9:$AC$89,3)*Paramétrage!$G$14+SUMIFS(Enseignements!$U$9:$U$89,Enseignements!$G$9:$G$89,Paramétrage!$D$16,Enseignements!$AC$9:$AC$89,3)*Paramétrage!$G$16+SUMIFS(Enseignements!$U$9:$U$89,Enseignements!$G$9:$G$89,Paramétrage!$D$17,Enseignements!$AC$9:$AC$89,3)*Paramétrage!$G$17+SUMIFS(Enseignements!$U$9:$U$89,Enseignements!$G$9:$G$89,Paramétrage!$D$19,Enseignements!$AC$9:$AC$89,3)*Paramétrage!$G$19+SUMIFS(Enseignements!$U$9:$U$89,Enseignements!$G$9:$G$89,Paramétrage!$D$20,Enseignements!$AC$9:$AC$89,3)*Paramétrage!$G$20+SUMIFS(Enseignements!$U$9:$U$89,Enseignements!$G$9:$G$89,Paramétrage!$D$23,Enseignements!$AC$9:$AC$89,3)*Paramétrage!$G$23+SUMIFS(Enseignements!$U$9:$U$89,Enseignements!$G$9:$G$89,Paramétrage!$D$24,Enseignements!$AC$9:$AC$89,3)*Paramétrage!$G$24+SUMIFS(Enseignements!$U$9:$U$89,Enseignements!$G$9:$G$89,Paramétrage!$D$26,Enseignements!$AC$9:$AC$89,3)*Paramétrage!$G$26+SUMIFS(Enseignements!$U$9:$U$89,Enseignements!$G$9:$G$89,Paramétrage!$D$27,Enseignements!$AC$9:$AC$89,3)*Paramétrage!$G$27</f>
        <v>138</v>
      </c>
      <c r="G6" s="478">
        <f>H6+I6</f>
        <v>155</v>
      </c>
      <c r="H6" s="479">
        <f>IF($D$2=0,0,D6+F6*($D$2-$D$3)/$D$2)</f>
        <v>96.6</v>
      </c>
      <c r="I6" s="480">
        <f>IF($D$2=0,0,E6+F6*$D$3/$D$2)</f>
        <v>58.4</v>
      </c>
    </row>
    <row r="7" spans="2:9" ht="13.95" customHeight="1" x14ac:dyDescent="0.25">
      <c r="B7" s="148" t="s">
        <v>4</v>
      </c>
      <c r="C7" s="440" t="s">
        <v>5</v>
      </c>
      <c r="D7" s="401">
        <f>SUMIFS(Enseignements!$V$9:$V$89,Enseignements!$G$9:$G$89,Paramétrage!$D$6,Enseignements!$AC$9:$AC$89,1)*Paramétrage!$G$6+SUMIFS(Enseignements!$V$9:$V$89,Enseignements!$G$9:$G$89,Paramétrage!$D$7,Enseignements!$AC$9:$AC$89,1)*Paramétrage!$G$7+SUMIFS(Enseignements!$V$9:$V$89,Enseignements!$G$9:$G$89,Paramétrage!$D$8,Enseignements!$AC$9:$AC$89,1)*Paramétrage!$G$8+SUMIFS(Enseignements!$V$9:$V$89,Enseignements!$G$9:$G$89,Paramétrage!$D$10,Enseignements!$AC$9:$AC$89,1)*Paramétrage!$G$10+SUMIFS(Enseignements!$V$9:$V$89,Enseignements!$G$9:$G$89,Paramétrage!$D$11,Enseignements!$AC$9:$AC$89,1)*Paramétrage!$G$11+SUMIFS(Enseignements!$V$9:$V$89,Enseignements!$G$9:$G$89,Paramétrage!$D$13,Enseignements!$AC$9:$AC$89,1)*Paramétrage!$G$13+SUMIFS(Enseignements!$V$9:$V$89,Enseignements!$G$9:$G$89,Paramétrage!$D$14,Enseignements!$AC$9:$AC$89,1)*Paramétrage!$G$14+SUMIFS(Enseignements!$V$9:$V$89,Enseignements!$G$9:$G$89,Paramétrage!$D$16,Enseignements!$AC$9:$AC$89,1)*Paramétrage!$G$16+SUMIFS(Enseignements!$V$9:$V$89,Enseignements!$G$9:$G$89,Paramétrage!$D$17,Enseignements!$AC$9:$AC$89,1)*Paramétrage!$G$17+SUMIFS(Enseignements!$V$9:$V$89,Enseignements!$G$9:$G$89,Paramétrage!$D$19,Enseignements!$AC$9:$AC$89,1)*Paramétrage!$G$19+SUMIFS(Enseignements!$V$9:$V$89,Enseignements!$G$9:$G$89,Paramétrage!$D$20,Enseignements!$AC$9:$AC$89,1)*Paramétrage!$G$20+SUMIFS(Enseignements!$V$9:$V$89,Enseignements!$G$9:$G$89,Paramétrage!$D$23,Enseignements!$AC$9:$AC$89,1)*Paramétrage!$G$23+SUMIFS(Enseignements!$V$9:$V$89,Enseignements!$G$9:$G$89,Paramétrage!$D$24,Enseignements!$AC$9:$AC$89,1)*Paramétrage!$G$24+SUMIFS(Enseignements!$V$9:$V$89,Enseignements!$G$9:$G$89,Paramétrage!$D$26,Enseignements!$AC$9:$AC$89,1)*Paramétrage!$G$26+SUMIFS(Enseignements!$V$9:$V$89,Enseignements!$G$9:$G$89,Paramétrage!$D$27,Enseignements!$AC$9:$AC$89,1)*Paramétrage!$G$27</f>
        <v>0</v>
      </c>
      <c r="E7" s="398">
        <f>SUMIFS(Enseignements!$V$9:$V$89,Enseignements!$G$9:$G$89,Paramétrage!$D$6,Enseignements!$AC$9:$AC$89,2)*Paramétrage!$G$6+SUMIFS(Enseignements!$V$9:$V$89,Enseignements!$G$9:$G$89,Paramétrage!$D$7,Enseignements!$AC$9:$AC$89,2)*Paramétrage!$G$7+SUMIFS(Enseignements!$V$9:$V$89,Enseignements!$G$9:$G$89,Paramétrage!$D$8,Enseignements!$AC$9:$AC$89,2)*Paramétrage!$G$8+SUMIFS(Enseignements!$V$9:$V$89,Enseignements!$G$9:$G$89,Paramétrage!$D$10,Enseignements!$AC$9:$AC$89,2)*Paramétrage!$G$10+SUMIFS(Enseignements!$V$9:$V$89,Enseignements!$G$9:$G$89,Paramétrage!$D$11,Enseignements!$AC$9:$AC$89,2)*Paramétrage!$G$11+SUMIFS(Enseignements!$V$9:$V$89,Enseignements!$G$9:$G$89,Paramétrage!$D$13,Enseignements!$AC$9:$AC$89,2)*Paramétrage!$G$13+SUMIFS(Enseignements!$V$9:$V$89,Enseignements!$G$9:$G$89,Paramétrage!$D$14,Enseignements!$AC$9:$AC$89,2)*Paramétrage!$G$14+SUMIFS(Enseignements!$V$9:$V$89,Enseignements!$G$9:$G$89,Paramétrage!$D$16,Enseignements!$AC$9:$AC$89,2)*Paramétrage!$G$16+SUMIFS(Enseignements!$V$9:$V$89,Enseignements!$G$9:$G$89,Paramétrage!$D$17,Enseignements!$AC$9:$AC$89,2)*Paramétrage!$G$17+SUMIFS(Enseignements!$V$9:$V$89,Enseignements!$G$9:$G$89,Paramétrage!$D$19,Enseignements!$AC$9:$AC$89,2)*Paramétrage!$G$19+SUMIFS(Enseignements!$V$9:$V$89,Enseignements!$G$9:$G$89,Paramétrage!$D$20,Enseignements!$AC$9:$AC$89,2)*Paramétrage!$G$20+SUMIFS(Enseignements!$V$9:$V$89,Enseignements!$G$9:$G$89,Paramétrage!$D$23,Enseignements!$AC$9:$AC$89,2)*Paramétrage!$G$23+SUMIFS(Enseignements!$V$9:$V$89,Enseignements!$G$9:$G$89,Paramétrage!$D$24,Enseignements!$AC$9:$AC$89,2)*Paramétrage!$G$24+SUMIFS(Enseignements!$V$9:$V$89,Enseignements!$G$9:$G$89,Paramétrage!$D$26,Enseignements!$AC$9:$AC$89,2)*Paramétrage!$G$26+SUMIFS(Enseignements!$V$9:$V$89,Enseignements!$G$9:$G$89,Paramétrage!$D$27,Enseignements!$AC$9:$AC$89,2)*Paramétrage!$G$27</f>
        <v>0</v>
      </c>
      <c r="F7" s="403">
        <f>SUMIFS(Enseignements!$V$9:$V$89,Enseignements!$G$9:$G$89,Paramétrage!$D$6,Enseignements!$AC$9:$AC$89,3)*Paramétrage!$G$6+SUMIFS(Enseignements!$V$9:$V$89,Enseignements!$G$9:$G$89,Paramétrage!$D$7,Enseignements!$AC$9:$AC$89,3)*Paramétrage!$G$7+SUMIFS(Enseignements!$V$9:$V$89,Enseignements!$G$9:$G$89,Paramétrage!$D$8,Enseignements!$AC$9:$AC$89,3)*Paramétrage!$G$8+SUMIFS(Enseignements!$V$9:$V$89,Enseignements!$G$9:$G$89,Paramétrage!$D$10,Enseignements!$AC$9:$AC$89,3)*Paramétrage!$G$10+SUMIFS(Enseignements!$V$9:$V$89,Enseignements!$G$9:$G$89,Paramétrage!$D$11,Enseignements!$AC$9:$AC$89,3)*Paramétrage!$G$11+SUMIFS(Enseignements!$V$9:$V$89,Enseignements!$G$9:$G$89,Paramétrage!$D$13,Enseignements!$AC$9:$AC$89,3)*Paramétrage!$G$13+SUMIFS(Enseignements!$V$9:$V$89,Enseignements!$G$9:$G$89,Paramétrage!$D$14,Enseignements!$AC$9:$AC$89,3)*Paramétrage!$G$14+SUMIFS(Enseignements!$V$9:$V$89,Enseignements!$G$9:$G$89,Paramétrage!$D$16,Enseignements!$AC$9:$AC$89,3)*Paramétrage!$G$16+SUMIFS(Enseignements!$V$9:$V$89,Enseignements!$G$9:$G$89,Paramétrage!$D$17,Enseignements!$AC$9:$AC$89,3)*Paramétrage!$G$17+SUMIFS(Enseignements!$V$9:$V$89,Enseignements!$G$9:$G$89,Paramétrage!$D$19,Enseignements!$AC$9:$AC$89,3)*Paramétrage!$G$19+SUMIFS(Enseignements!$V$9:$V$89,Enseignements!$G$9:$G$89,Paramétrage!$D$20,Enseignements!$AC$9:$AC$89,3)*Paramétrage!$G$20+SUMIFS(Enseignements!$V$9:$V$89,Enseignements!$G$9:$G$89,Paramétrage!$D$23,Enseignements!$AC$9:$AC$89,3)*Paramétrage!$G$23+SUMIFS(Enseignements!$V$9:$V$89,Enseignements!$G$9:$G$89,Paramétrage!$D$24,Enseignements!$AC$9:$AC$89,3)*Paramétrage!$G$24+SUMIFS(Enseignements!$V$9:$V$89,Enseignements!$G$9:$G$89,Paramétrage!$D$26,Enseignements!$AC$9:$AC$89,3)*Paramétrage!$G$26+SUMIFS(Enseignements!$V$9:$V$89,Enseignements!$G$9:$G$89,Paramétrage!$D$27,Enseignements!$AC$9:$AC$89,3)*Paramétrage!$G$27</f>
        <v>0</v>
      </c>
      <c r="G7" s="456">
        <f>H7+I7</f>
        <v>0</v>
      </c>
      <c r="H7" s="457">
        <f>IF($D$2=0,0,D7+F7*($D$2-$D$3)/$D$2)</f>
        <v>0</v>
      </c>
      <c r="I7" s="468">
        <f>IF($D$2=0,0,E7+F7*$D$3/$D$2)</f>
        <v>0</v>
      </c>
    </row>
    <row r="8" spans="2:9" ht="15.6" x14ac:dyDescent="0.25">
      <c r="B8" s="148" t="s">
        <v>6</v>
      </c>
      <c r="C8" s="440" t="s">
        <v>7</v>
      </c>
      <c r="D8" s="401">
        <f>SUMIFS(Enseignements!$W$9:$W$89,Enseignements!$G$9:$G$89,Paramétrage!$D$6,Enseignements!$AC$9:$AC$89,1)*Paramétrage!$G$6+SUMIFS(Enseignements!$W$9:$W$89,Enseignements!$G$9:$G$89,Paramétrage!$D$7,Enseignements!$AC$9:$AC$89,1)*Paramétrage!$G$7+SUMIFS(Enseignements!$W$9:$W$89,Enseignements!$G$9:$G$89,Paramétrage!$D$8,Enseignements!$AC$9:$AC$89,1)*Paramétrage!$G$8+SUMIFS(Enseignements!$W$9:$W$89,Enseignements!$G$9:$G$89,Paramétrage!$D$10,Enseignements!$AC$9:$AC$89,1)*Paramétrage!$G$10+SUMIFS(Enseignements!$W$9:$W$89,Enseignements!$G$9:$G$89,Paramétrage!$D$11,Enseignements!$AC$9:$AC$89,1)*Paramétrage!$G$11+SUMIFS(Enseignements!$W$9:$W$89,Enseignements!$G$9:$G$89,Paramétrage!$D$13,Enseignements!$AC$9:$AC$89,1)*Paramétrage!$G$13+SUMIFS(Enseignements!$W$9:$W$89,Enseignements!$G$9:$G$89,Paramétrage!$D$14,Enseignements!$AC$9:$AC$89,1)*Paramétrage!$G$14+SUMIFS(Enseignements!$W$9:$W$89,Enseignements!$G$9:$G$89,Paramétrage!$D$16,Enseignements!$AC$9:$AC$89,1)*Paramétrage!$G$16+SUMIFS(Enseignements!$W$9:$W$89,Enseignements!$G$9:$G$89,Paramétrage!$D$17,Enseignements!$AC$9:$AC$89,1)*Paramétrage!$G$17+SUMIFS(Enseignements!$W$9:$W$89,Enseignements!$G$9:$G$89,Paramétrage!$D$19,Enseignements!$AC$9:$AC$89,1)*Paramétrage!$G$19+SUMIFS(Enseignements!$W$9:$W$89,Enseignements!$G$9:$G$89,Paramétrage!$D$20,Enseignements!$AC$9:$AC$89,1)*Paramétrage!$G$20+SUMIFS(Enseignements!$W$9:$W$89,Enseignements!$G$9:$G$89,Paramétrage!$D$23,Enseignements!$AC$9:$AC$89,1)*Paramétrage!$G$23+SUMIFS(Enseignements!$W$9:$W$89,Enseignements!$G$9:$G$89,Paramétrage!$D$24,Enseignements!$AC$9:$AC$89,1)*Paramétrage!$G$24+SUMIFS(Enseignements!$W$9:$W$89,Enseignements!$G$9:$G$89,Paramétrage!$D$26,Enseignements!$AC$9:$AC$89,1)*Paramétrage!$G$26+SUMIFS(Enseignements!$W$9:$W$89,Enseignements!$G$9:$G$89,Paramétrage!$D$27,Enseignements!$AC$9:$AC$89,1)*Paramétrage!$G$27</f>
        <v>0</v>
      </c>
      <c r="E8" s="398">
        <f>SUMIFS(Enseignements!$W$9:$W$89,Enseignements!$G$9:$G$89,Paramétrage!$D$6,Enseignements!$AC$9:$AC$89,2)*Paramétrage!$G$6+SUMIFS(Enseignements!$W$9:$W$89,Enseignements!$G$9:$G$89,Paramétrage!$D$7,Enseignements!$AC$9:$AC$89,2)*Paramétrage!$G$7+SUMIFS(Enseignements!$W$9:$W$89,Enseignements!$G$9:$G$89,Paramétrage!$D$8,Enseignements!$AC$9:$AC$89,2)*Paramétrage!$G$8+SUMIFS(Enseignements!$W$9:$W$89,Enseignements!$G$9:$G$89,Paramétrage!$D$10,Enseignements!$AC$9:$AC$89,2)*Paramétrage!$G$10+SUMIFS(Enseignements!$W$9:$W$89,Enseignements!$G$9:$G$89,Paramétrage!$D$11,Enseignements!$AC$9:$AC$89,2)*Paramétrage!$G$11+SUMIFS(Enseignements!$W$9:$W$89,Enseignements!$G$9:$G$89,Paramétrage!$D$13,Enseignements!$AC$9:$AC$89,2)*Paramétrage!$G$13+SUMIFS(Enseignements!$W$9:$W$89,Enseignements!$G$9:$G$89,Paramétrage!$D$14,Enseignements!$AC$9:$AC$89,2)*Paramétrage!$G$14+SUMIFS(Enseignements!$W$9:$W$89,Enseignements!$G$9:$G$89,Paramétrage!$D$16,Enseignements!$AC$9:$AC$89,2)*Paramétrage!$G$16+SUMIFS(Enseignements!$W$9:$W$89,Enseignements!$G$9:$G$89,Paramétrage!$D$17,Enseignements!$AC$9:$AC$89,2)*Paramétrage!$G$17+SUMIFS(Enseignements!$W$9:$W$89,Enseignements!$G$9:$G$89,Paramétrage!$D$19,Enseignements!$AC$9:$AC$89,2)*Paramétrage!$G$19+SUMIFS(Enseignements!$W$9:$W$89,Enseignements!$G$9:$G$89,Paramétrage!$D$20,Enseignements!$AC$9:$AC$89,2)*Paramétrage!$G$20+SUMIFS(Enseignements!$W$9:$W$89,Enseignements!$G$9:$G$89,Paramétrage!$D$23,Enseignements!$AC$9:$AC$89,2)*Paramétrage!$G$23+SUMIFS(Enseignements!$W$9:$W$89,Enseignements!$G$9:$G$89,Paramétrage!$D$24,Enseignements!$AC$9:$AC$89,2)*Paramétrage!$G$24+SUMIFS(Enseignements!$W$9:$W$89,Enseignements!$G$9:$G$89,Paramétrage!$D$26,Enseignements!$AC$9:$AC$89,2)*Paramétrage!$G$26+SUMIFS(Enseignements!$W$9:$W$89,Enseignements!$G$9:$G$89,Paramétrage!$D$27,Enseignements!$AC$9:$AC$89,2)*Paramétrage!$G$27</f>
        <v>0</v>
      </c>
      <c r="F8" s="403">
        <f>SUMIFS(Enseignements!$W$9:$W$89,Enseignements!$G$9:$G$89,Paramétrage!$D$6,Enseignements!$AC$9:$AC$89,3)*Paramétrage!$G$6+SUMIFS(Enseignements!$W$9:$W$89,Enseignements!$G$9:$G$89,Paramétrage!$D$7,Enseignements!$AC$9:$AC$89,3)*Paramétrage!$G$7+SUMIFS(Enseignements!$W$9:$W$89,Enseignements!$G$9:$G$89,Paramétrage!$D$8,Enseignements!$AC$9:$AC$89,3)*Paramétrage!$G$8+SUMIFS(Enseignements!$W$9:$W$89,Enseignements!$G$9:$G$89,Paramétrage!$D$10,Enseignements!$AC$9:$AC$89,3)*Paramétrage!$G$10+SUMIFS(Enseignements!$W$9:$W$89,Enseignements!$G$9:$G$89,Paramétrage!$D$11,Enseignements!$AC$9:$AC$89,3)*Paramétrage!$G$11+SUMIFS(Enseignements!$W$9:$W$89,Enseignements!$G$9:$G$89,Paramétrage!$D$13,Enseignements!$AC$9:$AC$89,3)*Paramétrage!$G$13+SUMIFS(Enseignements!$W$9:$W$89,Enseignements!$G$9:$G$89,Paramétrage!$D$14,Enseignements!$AC$9:$AC$89,3)*Paramétrage!$G$14+SUMIFS(Enseignements!$W$9:$W$89,Enseignements!$G$9:$G$89,Paramétrage!$D$16,Enseignements!$AC$9:$AC$89,3)*Paramétrage!$G$16+SUMIFS(Enseignements!$W$9:$W$89,Enseignements!$G$9:$G$89,Paramétrage!$D$17,Enseignements!$AC$9:$AC$89,3)*Paramétrage!$G$17+SUMIFS(Enseignements!$W$9:$W$89,Enseignements!$G$9:$G$89,Paramétrage!$D$19,Enseignements!$AC$9:$AC$89,3)*Paramétrage!$G$19+SUMIFS(Enseignements!$W$9:$W$89,Enseignements!$G$9:$G$89,Paramétrage!$D$20,Enseignements!$AC$9:$AC$89,3)*Paramétrage!$G$20+SUMIFS(Enseignements!$W$9:$W$89,Enseignements!$G$9:$G$89,Paramétrage!$D$23,Enseignements!$AC$9:$AC$89,3)*Paramétrage!$G$23+SUMIFS(Enseignements!$W$9:$W$89,Enseignements!$G$9:$G$89,Paramétrage!$D$24,Enseignements!$AC$9:$AC$89,3)*Paramétrage!$G$24+SUMIFS(Enseignements!$W$9:$W$89,Enseignements!$G$9:$G$89,Paramétrage!$D$26,Enseignements!$AC$9:$AC$89,3)*Paramétrage!$G$26+SUMIFS(Enseignements!$W$9:$W$89,Enseignements!$G$9:$G$89,Paramétrage!$D$27,Enseignements!$AC$9:$AC$89,3)*Paramétrage!$G$27</f>
        <v>230.5</v>
      </c>
      <c r="G8" s="456">
        <f>H8+I8</f>
        <v>230.5</v>
      </c>
      <c r="H8" s="457">
        <f>IF($D$2=0,0,D8+F8*($D$2-$D$3)/$D$2)</f>
        <v>161.35</v>
      </c>
      <c r="I8" s="468">
        <f>IF($D$2=0,0,E8+F8*$D$3/$D$2)</f>
        <v>69.150000000000006</v>
      </c>
    </row>
    <row r="9" spans="2:9" ht="13.95" customHeight="1" x14ac:dyDescent="0.25">
      <c r="B9" s="148" t="s">
        <v>8</v>
      </c>
      <c r="C9" s="440" t="s">
        <v>9</v>
      </c>
      <c r="D9" s="401">
        <f>SUMIFS(Enseignements!$X$9:$X$89,Enseignements!$G$9:$G$89,Paramétrage!$D$6,Enseignements!$AC$9:$AC$89,1)*Paramétrage!$G$6+SUMIFS(Enseignements!$X$9:$X$89,Enseignements!$G$9:$G$89,Paramétrage!$D$7,Enseignements!$AC$9:$AC$89,1)*Paramétrage!$G$7+SUMIFS(Enseignements!$X$9:$X$89,Enseignements!$G$9:$G$89,Paramétrage!$D$8,Enseignements!$AC$9:$AC$89,1)*Paramétrage!$G$8+SUMIFS(Enseignements!$X$9:$X$89,Enseignements!$G$9:$G$89,Paramétrage!$D$10,Enseignements!$AC$9:$AC$89,1)*Paramétrage!$G$10+SUMIFS(Enseignements!$X$9:$X$89,Enseignements!$G$9:$G$89,Paramétrage!$D$11,Enseignements!$AC$9:$AC$89,1)*Paramétrage!$G$11+SUMIFS(Enseignements!$X$9:$X$89,Enseignements!$G$9:$G$89,Paramétrage!$D$13,Enseignements!$AC$9:$AC$89,1)*Paramétrage!$G$13+SUMIFS(Enseignements!$X$9:$X$89,Enseignements!$G$9:$G$89,Paramétrage!$D$14,Enseignements!$AC$9:$AC$89,1)*Paramétrage!$G$14+SUMIFS(Enseignements!$X$9:$X$89,Enseignements!$G$9:$G$89,Paramétrage!$D$16,Enseignements!$AC$9:$AC$89,1)*Paramétrage!$G$16+SUMIFS(Enseignements!$X$9:$X$89,Enseignements!$G$9:$G$89,Paramétrage!$D$17,Enseignements!$AC$9:$AC$89,1)*Paramétrage!$G$17+SUMIFS(Enseignements!$X$9:$X$89,Enseignements!$G$9:$G$89,Paramétrage!$D$19,Enseignements!$AC$9:$AC$89,1)*Paramétrage!$G$19+SUMIFS(Enseignements!$X$9:$X$89,Enseignements!$G$9:$G$89,Paramétrage!$D$20,Enseignements!$AC$9:$AC$89,1)*Paramétrage!$G$20+SUMIFS(Enseignements!$X$9:$X$89,Enseignements!$G$9:$G$89,Paramétrage!$D$23,Enseignements!$AC$9:$AC$89,1)*Paramétrage!$G$23+SUMIFS(Enseignements!$X$9:$X$89,Enseignements!$G$9:$G$89,Paramétrage!$D$24,Enseignements!$AC$9:$AC$89,1)*Paramétrage!$G$24+SUMIFS(Enseignements!$X$9:$X$89,Enseignements!$G$9:$G$89,Paramétrage!$D$26,Enseignements!$AC$9:$AC$89,1)*Paramétrage!$G$26+SUMIFS(Enseignements!$X$9:$X$89,Enseignements!$G$9:$G$89,Paramétrage!$D$27,Enseignements!$AC$9:$AC$89,1)*Paramétrage!$G$27</f>
        <v>0</v>
      </c>
      <c r="E9" s="398">
        <f>SUMIFS(Enseignements!$X$9:$X$89,Enseignements!$G$9:$G$89,Paramétrage!$D$6,Enseignements!$AC$9:$AC$89,2)*Paramétrage!$G$6+SUMIFS(Enseignements!$X$9:$X$89,Enseignements!$G$9:$G$89,Paramétrage!$D$7,Enseignements!$AC$9:$AC$89,2)*Paramétrage!$G$7+SUMIFS(Enseignements!$X$9:$X$89,Enseignements!$G$9:$G$89,Paramétrage!$D$8,Enseignements!$AC$9:$AC$89,2)*Paramétrage!$G$8+SUMIFS(Enseignements!$X$9:$X$89,Enseignements!$G$9:$G$89,Paramétrage!$D$10,Enseignements!$AC$9:$AC$89,2)*Paramétrage!$G$10+SUMIFS(Enseignements!$X$9:$X$89,Enseignements!$G$9:$G$89,Paramétrage!$D$11,Enseignements!$AC$9:$AC$89,2)*Paramétrage!$G$11+SUMIFS(Enseignements!$X$9:$X$89,Enseignements!$G$9:$G$89,Paramétrage!$D$13,Enseignements!$AC$9:$AC$89,2)*Paramétrage!$G$13+SUMIFS(Enseignements!$X$9:$X$89,Enseignements!$G$9:$G$89,Paramétrage!$D$14,Enseignements!$AC$9:$AC$89,2)*Paramétrage!$G$14+SUMIFS(Enseignements!$X$9:$X$89,Enseignements!$G$9:$G$89,Paramétrage!$D$16,Enseignements!$AC$9:$AC$89,2)*Paramétrage!$G$16+SUMIFS(Enseignements!$X$9:$X$89,Enseignements!$G$9:$G$89,Paramétrage!$D$17,Enseignements!$AC$9:$AC$89,2)*Paramétrage!$G$17+SUMIFS(Enseignements!$X$9:$X$89,Enseignements!$G$9:$G$89,Paramétrage!$D$19,Enseignements!$AC$9:$AC$89,2)*Paramétrage!$G$19+SUMIFS(Enseignements!$X$9:$X$89,Enseignements!$G$9:$G$89,Paramétrage!$D$20,Enseignements!$AC$9:$AC$89,2)*Paramétrage!$G$20+SUMIFS(Enseignements!$X$9:$X$89,Enseignements!$G$9:$G$89,Paramétrage!$D$23,Enseignements!$AC$9:$AC$89,2)*Paramétrage!$G$23+SUMIFS(Enseignements!$X$9:$X$89,Enseignements!$G$9:$G$89,Paramétrage!$D$24,Enseignements!$AC$9:$AC$89,2)*Paramétrage!$G$24+SUMIFS(Enseignements!$X$9:$X$89,Enseignements!$G$9:$G$89,Paramétrage!$D$26,Enseignements!$AC$9:$AC$89,2)*Paramétrage!$G$26+SUMIFS(Enseignements!$X$9:$X$89,Enseignements!$G$9:$G$89,Paramétrage!$D$27,Enseignements!$AC$9:$AC$89,2)*Paramétrage!$G$27</f>
        <v>0</v>
      </c>
      <c r="F9" s="403">
        <f>SUMIFS(Enseignements!$X$9:$X$89,Enseignements!$G$9:$G$89,Paramétrage!$D$6,Enseignements!$AC$9:$AC$89,3)*Paramétrage!$G$6+SUMIFS(Enseignements!$X$9:$X$89,Enseignements!$G$9:$G$89,Paramétrage!$D$7,Enseignements!$AC$9:$AC$89,3)*Paramétrage!$G$7+SUMIFS(Enseignements!$X$9:$X$89,Enseignements!$G$9:$G$89,Paramétrage!$D$8,Enseignements!$AC$9:$AC$89,3)*Paramétrage!$G$8+SUMIFS(Enseignements!$X$9:$X$89,Enseignements!$G$9:$G$89,Paramétrage!$D$10,Enseignements!$AC$9:$AC$89,3)*Paramétrage!$G$10+SUMIFS(Enseignements!$X$9:$X$89,Enseignements!$G$9:$G$89,Paramétrage!$D$11,Enseignements!$AC$9:$AC$89,3)*Paramétrage!$G$11+SUMIFS(Enseignements!$X$9:$X$89,Enseignements!$G$9:$G$89,Paramétrage!$D$13,Enseignements!$AC$9:$AC$89,3)*Paramétrage!$G$13+SUMIFS(Enseignements!$X$9:$X$89,Enseignements!$G$9:$G$89,Paramétrage!$D$14,Enseignements!$AC$9:$AC$89,3)*Paramétrage!$G$14+SUMIFS(Enseignements!$X$9:$X$89,Enseignements!$G$9:$G$89,Paramétrage!$D$16,Enseignements!$AC$9:$AC$89,3)*Paramétrage!$G$16+SUMIFS(Enseignements!$X$9:$X$89,Enseignements!$G$9:$G$89,Paramétrage!$D$17,Enseignements!$AC$9:$AC$89,3)*Paramétrage!$G$17+SUMIFS(Enseignements!$X$9:$X$89,Enseignements!$G$9:$G$89,Paramétrage!$D$19,Enseignements!$AC$9:$AC$89,3)*Paramétrage!$G$19+SUMIFS(Enseignements!$X$9:$X$89,Enseignements!$G$9:$G$89,Paramétrage!$D$20,Enseignements!$AC$9:$AC$89,3)*Paramétrage!$G$20+SUMIFS(Enseignements!$X$9:$X$89,Enseignements!$G$9:$G$89,Paramétrage!$D$23,Enseignements!$AC$9:$AC$89,3)*Paramétrage!$G$23+SUMIFS(Enseignements!$X$9:$X$89,Enseignements!$G$9:$G$89,Paramétrage!$D$24,Enseignements!$AC$9:$AC$89,3)*Paramétrage!$G$24+SUMIFS(Enseignements!$X$9:$X$89,Enseignements!$G$9:$G$89,Paramétrage!$D$26,Enseignements!$AC$9:$AC$89,3)*Paramétrage!$G$26+SUMIFS(Enseignements!$X$9:$X$89,Enseignements!$G$9:$G$89,Paramétrage!$D$27,Enseignements!$AC$9:$AC$89,3)*Paramétrage!$G$27</f>
        <v>0</v>
      </c>
      <c r="G9" s="456">
        <f>H9+I9</f>
        <v>0</v>
      </c>
      <c r="H9" s="457">
        <f>IF($D$2=0,0,D9+F9*($D$2-$D$3)/$D$2)</f>
        <v>0</v>
      </c>
      <c r="I9" s="468">
        <f>IF($D$2=0,0,E9+F9*$D$3/$D$2)</f>
        <v>0</v>
      </c>
    </row>
    <row r="10" spans="2:9" ht="14.4" thickBot="1" x14ac:dyDescent="0.3">
      <c r="B10" s="441" t="s">
        <v>10</v>
      </c>
      <c r="C10" s="442"/>
      <c r="D10" s="452">
        <f>SUM(D6:D9)</f>
        <v>0</v>
      </c>
      <c r="E10" s="453">
        <f t="shared" ref="E10:I10" si="0">SUM(E6:E9)</f>
        <v>17</v>
      </c>
      <c r="F10" s="454">
        <f t="shared" si="0"/>
        <v>368.5</v>
      </c>
      <c r="G10" s="481">
        <f>SUM(G6:G9)</f>
        <v>385.5</v>
      </c>
      <c r="H10" s="470">
        <f t="shared" si="0"/>
        <v>257.95</v>
      </c>
      <c r="I10" s="471">
        <f t="shared" si="0"/>
        <v>127.55000000000001</v>
      </c>
    </row>
    <row r="11" spans="2:9" ht="13.8" x14ac:dyDescent="0.25">
      <c r="B11" s="138" t="s">
        <v>11</v>
      </c>
      <c r="C11" s="443" t="s">
        <v>12</v>
      </c>
      <c r="D11" s="406"/>
      <c r="E11" s="407"/>
      <c r="F11" s="408"/>
      <c r="G11" s="482"/>
      <c r="H11" s="474"/>
      <c r="I11" s="475"/>
    </row>
    <row r="12" spans="2:9" ht="13.8" x14ac:dyDescent="0.25">
      <c r="B12" s="148" t="s">
        <v>13</v>
      </c>
      <c r="C12" s="444" t="s">
        <v>14</v>
      </c>
      <c r="D12" s="451">
        <f>SUMIFS(Enseignements!$Y$9:$Y$89,Enseignements!$G$9:$G$89,Paramétrage!$D$15,Enseignements!$AC$9:$AC$89,1)*Paramétrage!$G$15</f>
        <v>0</v>
      </c>
      <c r="E12" s="4">
        <f>SUMIFS(Enseignements!$Y$9:$Y$89,Enseignements!$G$9:$G$89,Paramétrage!$D$15,Enseignements!$AC$9:$AC$89,2)*Paramétrage!$G$15</f>
        <v>0</v>
      </c>
      <c r="F12" s="455">
        <f>SUMIFS(Enseignements!$Y$9:$Y$89,Enseignements!$G$9:$G$89,Paramétrage!$D$15,Enseignements!$AC$9:$AC$89,3)*Paramétrage!$G$15</f>
        <v>0</v>
      </c>
      <c r="G12" s="456">
        <f>H12+I12</f>
        <v>0</v>
      </c>
      <c r="H12" s="457">
        <f>IF($D$2=0,0,D12+F12*($D$2-$D$3)/$D$2)</f>
        <v>0</v>
      </c>
      <c r="I12" s="468">
        <f>IF($D$2=0,0,E12+F12*$D$3/$D$2)</f>
        <v>0</v>
      </c>
    </row>
    <row r="13" spans="2:9" ht="13.95" customHeight="1" x14ac:dyDescent="0.25">
      <c r="B13" s="148" t="s">
        <v>15</v>
      </c>
      <c r="C13" s="440" t="s">
        <v>16</v>
      </c>
      <c r="D13" s="451">
        <f>SUMIFS(Enseignements!$Y$9:$Y$89,Enseignements!$G$9:$G$89,Paramétrage!$D$18,Enseignements!$AC$9:$AC$89,1)*Paramétrage!$G$18</f>
        <v>0</v>
      </c>
      <c r="E13" s="4">
        <f>SUMIFS(Enseignements!$Y$9:$Y$89,Enseignements!$G$9:$G$89,Paramétrage!$D$18,Enseignements!$AC$9:$AC$89,2)*Paramétrage!$G$18</f>
        <v>0</v>
      </c>
      <c r="F13" s="455">
        <f>SUMIFS(Enseignements!$Y$9:$Y$89,Enseignements!$G$9:$G$89,Paramétrage!$D$18,Enseignements!$AC$9:$AC$89,3)*Paramétrage!$G$18</f>
        <v>0</v>
      </c>
      <c r="G13" s="456">
        <f>H13+I13</f>
        <v>0</v>
      </c>
      <c r="H13" s="457">
        <f>IF($D$2=0,0,D13+F13*($D$2-$D$3)/$D$2)</f>
        <v>0</v>
      </c>
      <c r="I13" s="468">
        <f>IF($D$2=0,0,E13+F13*$D$3/$D$2)</f>
        <v>0</v>
      </c>
    </row>
    <row r="14" spans="2:9" ht="13.95" customHeight="1" x14ac:dyDescent="0.25">
      <c r="B14" s="148" t="s">
        <v>17</v>
      </c>
      <c r="C14" s="440" t="s">
        <v>18</v>
      </c>
      <c r="D14" s="451">
        <f>SUMIFS(Enseignements!$Y$9:$Y$89,Enseignements!$G$9:$G$89,Paramétrage!$D$9,Enseignements!$AC$9:$AC$89,1)*Paramétrage!$G$9</f>
        <v>0</v>
      </c>
      <c r="E14" s="4">
        <f>SUMIFS(Enseignements!$Y$9:$Y$89,Enseignements!$G$9:$G$89,Paramétrage!$D$9,Enseignements!$AC$9:$AC$89,2)*Paramétrage!$G$9</f>
        <v>0</v>
      </c>
      <c r="F14" s="455">
        <f>SUMIFS(Enseignements!$Y$9:$Y$89,Enseignements!$G$9:$G$89,Paramétrage!$D$9,Enseignements!$AC$9:$AC$89,3)*Paramétrage!$G$9</f>
        <v>0</v>
      </c>
      <c r="G14" s="456">
        <f>H14+I14</f>
        <v>0</v>
      </c>
      <c r="H14" s="457">
        <f>IF($D$2=0,0,D14+F14*($D$2-$D$3)/$D$2)</f>
        <v>0</v>
      </c>
      <c r="I14" s="468">
        <f>IF($D$2=0,0,E14+F14*$D$3/$D$2)</f>
        <v>0</v>
      </c>
    </row>
    <row r="15" spans="2:9" ht="13.95" customHeight="1" x14ac:dyDescent="0.25">
      <c r="B15" s="148" t="s">
        <v>19</v>
      </c>
      <c r="C15" s="440" t="s">
        <v>20</v>
      </c>
      <c r="D15" s="451">
        <f>SUMIFS(Enseignements!$Y$9:$Y$89,Enseignements!$G$9:$G$89,Paramétrage!$D$12,Enseignements!$AC$9:$AC$89,1)*Paramétrage!$G$12</f>
        <v>0</v>
      </c>
      <c r="E15" s="4">
        <f>SUMIFS(Enseignements!$Y$9:$Y$89,Enseignements!$G$9:$G$89,Paramétrage!$D$12,Enseignements!$AC$9:$AC$89,2)*Paramétrage!$G$12</f>
        <v>54</v>
      </c>
      <c r="F15" s="455">
        <f>SUMIFS(Enseignements!$Y$9:$Y$89,Enseignements!$G$9:$G$89,Paramétrage!$D$12,Enseignements!$AC$9:$AC$89,3)*Paramétrage!$G$12</f>
        <v>0</v>
      </c>
      <c r="G15" s="456">
        <f>H15+I15</f>
        <v>54</v>
      </c>
      <c r="H15" s="457">
        <f>IF($D$2=0,0,D15+F15*($D$2-$D$3)/$D$2)</f>
        <v>0</v>
      </c>
      <c r="I15" s="468">
        <f>IF($D$2=0,0,E15+F15*$D$3/$D$2)</f>
        <v>54</v>
      </c>
    </row>
    <row r="16" spans="2:9" ht="13.95" customHeight="1" x14ac:dyDescent="0.25">
      <c r="B16" s="148" t="s">
        <v>21</v>
      </c>
      <c r="C16" s="440" t="s">
        <v>22</v>
      </c>
      <c r="D16" s="451">
        <f>SUMIFS(Enseignements!$Y$9:$Y$89,Enseignements!$G$9:$G$89,Paramétrage!$D$22,Enseignements!$AC$9:$AC$89,1)*Paramétrage!$G$22+SUMIFS(Enseignements!$Y$9:$Y$89,Enseignements!$G$9:$G$89,Paramétrage!$D$25,Enseignements!$AC$9:$AC$89,1)*Paramétrage!$G$25</f>
        <v>0</v>
      </c>
      <c r="E16" s="4">
        <f>SUMIFS(Enseignements!$Y$9:$Y$89,Enseignements!$G$9:$G$89,Paramétrage!$D$22,Enseignements!$AC$9:$AC$89,2)*Paramétrage!$G$22+SUMIFS(Enseignements!$Y$9:$Y$89,Enseignements!$G$9:$G$89,Paramétrage!$D$25,Enseignements!$AC$9:$AC$89,2)*Paramétrage!$G$25</f>
        <v>0</v>
      </c>
      <c r="F16" s="455">
        <f>SUMIFS(Enseignements!$Y$9:$Y$89,Enseignements!$G$9:$G$89,Paramétrage!$D$22,Enseignements!$AC$9:$AC$89,3)*Paramétrage!$G$22+SUMIFS(Enseignements!$Y$9:$Y$89,Enseignements!$G$9:$G$89,Paramétrage!$D$25,Enseignements!$AC$9:$AC$89,3)*Paramétrage!$G$25</f>
        <v>0</v>
      </c>
      <c r="G16" s="456">
        <f>H16+I16</f>
        <v>0</v>
      </c>
      <c r="H16" s="457">
        <f>IF($D$2=0,0,D16+F16*($D$2-$D$3)/$D$2)</f>
        <v>0</v>
      </c>
      <c r="I16" s="468">
        <f>IF($D$2=0,0,E16+F16*$D$3/$D$2)</f>
        <v>0</v>
      </c>
    </row>
    <row r="17" spans="2:9" ht="14.4" thickBot="1" x14ac:dyDescent="0.3">
      <c r="B17" s="441" t="s">
        <v>117</v>
      </c>
      <c r="C17" s="442"/>
      <c r="D17" s="452">
        <f>SUM(D12:D16)</f>
        <v>0</v>
      </c>
      <c r="E17" s="453">
        <f t="shared" ref="E17:I17" si="1">SUM(E12:E16)</f>
        <v>54</v>
      </c>
      <c r="F17" s="454">
        <f t="shared" si="1"/>
        <v>0</v>
      </c>
      <c r="G17" s="458">
        <f>SUM(G12:G16)</f>
        <v>54</v>
      </c>
      <c r="H17" s="459">
        <f t="shared" si="1"/>
        <v>0</v>
      </c>
      <c r="I17" s="476">
        <f t="shared" si="1"/>
        <v>54</v>
      </c>
    </row>
    <row r="18" spans="2:9" ht="13.8" x14ac:dyDescent="0.25">
      <c r="B18" s="138" t="s">
        <v>118</v>
      </c>
      <c r="C18" s="443" t="s">
        <v>119</v>
      </c>
      <c r="D18" s="406"/>
      <c r="E18" s="407"/>
      <c r="F18" s="408"/>
      <c r="G18" s="460"/>
      <c r="H18" s="461"/>
      <c r="I18" s="473"/>
    </row>
    <row r="19" spans="2:9" ht="13.8" x14ac:dyDescent="0.25">
      <c r="B19" s="148" t="s">
        <v>120</v>
      </c>
      <c r="C19" s="440" t="s">
        <v>121</v>
      </c>
      <c r="D19" s="410"/>
      <c r="E19" s="411"/>
      <c r="F19" s="409">
        <f>'Budget détaillé'!G28</f>
        <v>20</v>
      </c>
      <c r="G19" s="462">
        <f>H19+I19</f>
        <v>20</v>
      </c>
      <c r="H19" s="463">
        <f>IF($D$2=0,0,D19+F19*($D$2-$D$3)/$D$2)</f>
        <v>14</v>
      </c>
      <c r="I19" s="469">
        <f>IF($D$2=0,0,E19+F19*$D$3/$D$2)</f>
        <v>6</v>
      </c>
    </row>
    <row r="20" spans="2:9" ht="13.8" x14ac:dyDescent="0.25">
      <c r="B20" s="148" t="s">
        <v>122</v>
      </c>
      <c r="C20" s="440" t="s">
        <v>123</v>
      </c>
      <c r="D20" s="410"/>
      <c r="E20" s="405">
        <f>'Budget détaillé'!G29</f>
        <v>0</v>
      </c>
      <c r="F20" s="412"/>
      <c r="G20" s="462">
        <f>H20+I20</f>
        <v>0</v>
      </c>
      <c r="H20" s="463">
        <f>IF($D$2=0,0,D20+F20*($D$2-$D$3)/$D$2)</f>
        <v>0</v>
      </c>
      <c r="I20" s="469">
        <f>IF($D$2=0,0,E20+F20*$D$3/$D$2)</f>
        <v>0</v>
      </c>
    </row>
    <row r="21" spans="2:9" ht="13.8" x14ac:dyDescent="0.25">
      <c r="B21" s="148" t="s">
        <v>124</v>
      </c>
      <c r="C21" s="445" t="s">
        <v>48</v>
      </c>
      <c r="D21" s="404"/>
      <c r="E21" s="405"/>
      <c r="F21" s="409">
        <f>'Budget détaillé'!G30</f>
        <v>0</v>
      </c>
      <c r="G21" s="462">
        <f>H21+I21</f>
        <v>0</v>
      </c>
      <c r="H21" s="463">
        <f>IF($D$2=0,0,D21+F21*($D$2-$D$3)/$D$2)</f>
        <v>0</v>
      </c>
      <c r="I21" s="469">
        <f>IF($D$2=0,0,E21+F21*$D$3/$D$2)</f>
        <v>0</v>
      </c>
    </row>
    <row r="22" spans="2:9" ht="14.4" thickBot="1" x14ac:dyDescent="0.3">
      <c r="B22" s="441" t="s">
        <v>125</v>
      </c>
      <c r="C22" s="442"/>
      <c r="D22" s="413">
        <f>SUM(D18:D21)</f>
        <v>0</v>
      </c>
      <c r="E22" s="414">
        <f t="shared" ref="E22:I22" si="2">SUM(E18:E21)</f>
        <v>0</v>
      </c>
      <c r="F22" s="415">
        <f t="shared" si="2"/>
        <v>20</v>
      </c>
      <c r="G22" s="464">
        <f>SUM(G18:G21)</f>
        <v>20</v>
      </c>
      <c r="H22" s="465">
        <f t="shared" si="2"/>
        <v>14</v>
      </c>
      <c r="I22" s="472">
        <f t="shared" si="2"/>
        <v>6</v>
      </c>
    </row>
    <row r="23" spans="2:9" ht="13.8" thickBot="1" x14ac:dyDescent="0.3">
      <c r="B23" s="446" t="s">
        <v>256</v>
      </c>
      <c r="C23" s="447"/>
      <c r="D23" s="416">
        <f>D22+D17+D10</f>
        <v>0</v>
      </c>
      <c r="E23" s="417">
        <f t="shared" ref="E23:I23" si="3">E22+E17+E10</f>
        <v>71</v>
      </c>
      <c r="F23" s="418">
        <f t="shared" si="3"/>
        <v>388.5</v>
      </c>
      <c r="G23" s="466">
        <f>G22+G17+G10</f>
        <v>459.5</v>
      </c>
      <c r="H23" s="467">
        <f t="shared" si="3"/>
        <v>271.95</v>
      </c>
      <c r="I23" s="477">
        <f t="shared" si="3"/>
        <v>187.55</v>
      </c>
    </row>
  </sheetData>
  <sheetProtection algorithmName="SHA-512" hashValue="v4HcbrP0G2Deh+SE4hJFy0r9PhEMVE75pV0II+tXOSlVLAJfUTRSnMzVPHoq2jD41Gy2A6Mkcx8XUWmFnW7Szw==" saltValue="sXpYCtpvcQPfSXEMOW486Q==" spinCount="100000" sheet="1" objects="1" scenarios="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18"/>
  <sheetViews>
    <sheetView workbookViewId="0">
      <selection activeCell="I11" sqref="I11"/>
    </sheetView>
  </sheetViews>
  <sheetFormatPr baseColWidth="10" defaultColWidth="11.44140625" defaultRowHeight="13.2" outlineLevelRow="1" x14ac:dyDescent="0.25"/>
  <cols>
    <col min="1" max="16384" width="11.44140625" style="1"/>
  </cols>
  <sheetData>
    <row r="4" spans="1:19" ht="13.8" thickBot="1" x14ac:dyDescent="0.3"/>
    <row r="5" spans="1:19" ht="13.8" outlineLevel="1" thickBot="1" x14ac:dyDescent="0.3">
      <c r="B5" s="438"/>
      <c r="C5" s="438"/>
      <c r="D5" s="438"/>
      <c r="E5" s="438"/>
      <c r="F5" s="438"/>
      <c r="G5" s="438"/>
      <c r="H5" s="431"/>
      <c r="I5" s="432" t="s">
        <v>107</v>
      </c>
      <c r="J5" s="433" t="s">
        <v>192</v>
      </c>
      <c r="K5" s="434" t="s">
        <v>255</v>
      </c>
      <c r="L5" s="435"/>
    </row>
    <row r="6" spans="1:19" ht="18" customHeight="1" outlineLevel="1" x14ac:dyDescent="0.25">
      <c r="B6" s="697" t="s">
        <v>253</v>
      </c>
      <c r="C6" s="701"/>
      <c r="D6" s="393" t="s">
        <v>260</v>
      </c>
      <c r="E6" s="484"/>
      <c r="F6" s="485"/>
      <c r="G6" s="486"/>
      <c r="H6" s="487"/>
      <c r="I6" s="490">
        <f>'Budget détaillé'!I75</f>
        <v>46152</v>
      </c>
      <c r="J6" s="491">
        <f>'Budget détaillé'!J75</f>
        <v>3402</v>
      </c>
      <c r="K6" s="210">
        <f>'Budget détaillé'!K75</f>
        <v>42750</v>
      </c>
    </row>
    <row r="7" spans="1:19" ht="18" customHeight="1" outlineLevel="1" x14ac:dyDescent="0.25">
      <c r="B7" s="744"/>
      <c r="C7" s="745"/>
      <c r="D7" s="107" t="s">
        <v>265</v>
      </c>
      <c r="E7" s="484"/>
      <c r="F7" s="485"/>
      <c r="G7" s="486"/>
      <c r="H7" s="428"/>
      <c r="I7" s="492">
        <f>'Budget détaillé'!I65</f>
        <v>106364</v>
      </c>
      <c r="J7" s="488">
        <f>'Budget détaillé'!J65</f>
        <v>64438.400000000001</v>
      </c>
      <c r="K7" s="220">
        <f>'Budget détaillé'!K65</f>
        <v>41925.599999999999</v>
      </c>
    </row>
    <row r="8" spans="1:19" ht="18" customHeight="1" outlineLevel="1" x14ac:dyDescent="0.25">
      <c r="B8" s="744"/>
      <c r="C8" s="745"/>
      <c r="D8" s="393" t="s">
        <v>264</v>
      </c>
      <c r="E8" s="484"/>
      <c r="F8" s="485"/>
      <c r="G8" s="486"/>
      <c r="H8" s="487"/>
      <c r="I8" s="492">
        <f>'Budget détaillé'!I13+'Budget détaillé'!I38+'Budget détaillé'!I54</f>
        <v>69404</v>
      </c>
      <c r="J8" s="149">
        <f>'Budget détaillé'!J13+'Budget détaillé'!J38+'Budget détaillé'!J54</f>
        <v>38566.400000000001</v>
      </c>
      <c r="K8" s="220">
        <f>'Budget détaillé'!K13+'Budget détaillé'!K38+'Budget détaillé'!K54</f>
        <v>30837.599999999999</v>
      </c>
      <c r="L8" s="60"/>
      <c r="M8" s="60"/>
      <c r="N8" s="60"/>
      <c r="O8" s="60"/>
      <c r="P8" s="60"/>
      <c r="Q8" s="60"/>
      <c r="R8" s="60"/>
      <c r="S8" s="60"/>
    </row>
    <row r="9" spans="1:19" ht="18" customHeight="1" outlineLevel="1" x14ac:dyDescent="0.25">
      <c r="B9" s="744"/>
      <c r="C9" s="745"/>
      <c r="D9" s="393" t="s">
        <v>258</v>
      </c>
      <c r="E9" s="388"/>
      <c r="F9" s="387"/>
      <c r="G9" s="389"/>
      <c r="H9" s="428"/>
      <c r="I9" s="493">
        <f>IFERROR(ROUNDUP(I8/'Budget détaillé'!$K$76,0),0)</f>
        <v>10</v>
      </c>
      <c r="J9" s="425">
        <f>IFERROR(ROUNDUP(J8/'Budget détaillé'!$K$76,0),0)</f>
        <v>6</v>
      </c>
      <c r="K9" s="396">
        <f>IFERROR(ROUNDUP(K8/'Budget détaillé'!$K$76,0),0)</f>
        <v>5</v>
      </c>
    </row>
    <row r="10" spans="1:19" ht="18" customHeight="1" outlineLevel="1" thickBot="1" x14ac:dyDescent="0.3">
      <c r="B10" s="746"/>
      <c r="C10" s="747"/>
      <c r="D10" s="394" t="s">
        <v>257</v>
      </c>
      <c r="E10" s="391"/>
      <c r="F10" s="390"/>
      <c r="G10" s="392"/>
      <c r="H10" s="429"/>
      <c r="I10" s="494">
        <f>IFERROR(ROUNDUP(I7/'Budget détaillé'!$K$76,0),0)</f>
        <v>15</v>
      </c>
      <c r="J10" s="426">
        <f>IFERROR(ROUNDUP(J7/'Budget détaillé'!$K$76,0),0)</f>
        <v>10</v>
      </c>
      <c r="K10" s="397">
        <f>IFERROR(ROUNDUP(K7/'Budget détaillé'!$K$76,0),0)</f>
        <v>6</v>
      </c>
    </row>
    <row r="11" spans="1:19" ht="18" customHeight="1" outlineLevel="1" thickBot="1" x14ac:dyDescent="0.3">
      <c r="A11" s="483"/>
      <c r="B11" s="489" t="s">
        <v>259</v>
      </c>
      <c r="C11" s="436"/>
      <c r="D11" s="419"/>
      <c r="E11" s="420"/>
      <c r="F11" s="421"/>
      <c r="G11" s="422"/>
      <c r="H11" s="430"/>
      <c r="I11" s="427">
        <f>'calcul heures'!G23</f>
        <v>459.5</v>
      </c>
      <c r="J11" s="424">
        <f>'calcul heures'!H23</f>
        <v>271.95</v>
      </c>
      <c r="K11" s="423">
        <f>'calcul heures'!I23</f>
        <v>187.55</v>
      </c>
    </row>
    <row r="12" spans="1:19" outlineLevel="1" x14ac:dyDescent="0.25"/>
    <row r="13" spans="1:19" outlineLevel="1" x14ac:dyDescent="0.25"/>
    <row r="14" spans="1:19" outlineLevel="1" x14ac:dyDescent="0.25">
      <c r="B14" s="743" t="s">
        <v>270</v>
      </c>
      <c r="C14" s="743"/>
      <c r="D14" s="743"/>
      <c r="E14" s="743"/>
      <c r="F14" s="743"/>
      <c r="G14" s="743"/>
      <c r="H14" s="743"/>
      <c r="I14" s="743"/>
      <c r="J14" s="743"/>
      <c r="K14" s="743"/>
      <c r="L14" s="743"/>
      <c r="M14" s="743"/>
    </row>
    <row r="15" spans="1:19" outlineLevel="1" x14ac:dyDescent="0.25"/>
    <row r="16" spans="1:19" outlineLevel="1" x14ac:dyDescent="0.25">
      <c r="D16" s="748" t="s">
        <v>261</v>
      </c>
      <c r="E16" s="748"/>
      <c r="F16" s="748"/>
      <c r="G16" s="748"/>
      <c r="H16" s="748"/>
      <c r="I16" s="748" t="s">
        <v>262</v>
      </c>
      <c r="J16" s="748"/>
      <c r="K16" s="748"/>
      <c r="L16" s="748"/>
      <c r="M16" s="748"/>
    </row>
    <row r="17" spans="2:13" ht="81" customHeight="1" outlineLevel="1" x14ac:dyDescent="0.25">
      <c r="B17" s="741" t="s">
        <v>254</v>
      </c>
      <c r="C17" s="742"/>
      <c r="D17" s="749" t="s">
        <v>267</v>
      </c>
      <c r="E17" s="749"/>
      <c r="F17" s="749"/>
      <c r="G17" s="749"/>
      <c r="H17" s="749"/>
      <c r="I17" s="749" t="s">
        <v>269</v>
      </c>
      <c r="J17" s="749"/>
      <c r="K17" s="749"/>
      <c r="L17" s="749"/>
      <c r="M17" s="749"/>
    </row>
    <row r="18" spans="2:13" ht="33" customHeight="1" outlineLevel="1" x14ac:dyDescent="0.25">
      <c r="B18" s="741" t="s">
        <v>263</v>
      </c>
      <c r="C18" s="742"/>
      <c r="D18" s="740" t="s">
        <v>268</v>
      </c>
      <c r="E18" s="740"/>
      <c r="F18" s="740"/>
      <c r="G18" s="740"/>
      <c r="H18" s="740"/>
      <c r="I18" s="740" t="s">
        <v>266</v>
      </c>
      <c r="J18" s="740"/>
      <c r="K18" s="740"/>
      <c r="L18" s="740"/>
      <c r="M18" s="740"/>
    </row>
  </sheetData>
  <sheetProtection algorithmName="SHA-512" hashValue="S7tz33dZkOAu7itnyJua9MMgGMW6OSR+7pp7EHKVmmjIqgoAElOf100XdIUjfMgvCiP/OHxMB0OK4/lpjaRTcQ==" saltValue="PtCo3zH/FCyfZeGsgqLZHw==" spinCount="100000" sheet="1" objects="1" scenarios="1"/>
  <mergeCells count="10">
    <mergeCell ref="B6:C10"/>
    <mergeCell ref="D16:H16"/>
    <mergeCell ref="I16:M16"/>
    <mergeCell ref="D17:H17"/>
    <mergeCell ref="I17:M17"/>
    <mergeCell ref="D18:H18"/>
    <mergeCell ref="I18:M18"/>
    <mergeCell ref="B18:C18"/>
    <mergeCell ref="B17:C17"/>
    <mergeCell ref="B14:M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32"/>
  <sheetViews>
    <sheetView zoomScaleNormal="100" workbookViewId="0">
      <selection activeCell="H28" sqref="H28:I28"/>
    </sheetView>
  </sheetViews>
  <sheetFormatPr baseColWidth="10" defaultColWidth="11.44140625" defaultRowHeight="13.2" x14ac:dyDescent="0.25"/>
  <cols>
    <col min="1" max="1" width="2.6640625" style="1" customWidth="1"/>
    <col min="2" max="2" width="11.44140625" style="1"/>
    <col min="3" max="3" width="34.6640625" style="1" bestFit="1" customWidth="1"/>
    <col min="4" max="4" width="9.33203125" style="1" bestFit="1" customWidth="1"/>
    <col min="5" max="5" width="15" style="1" hidden="1" customWidth="1"/>
    <col min="6" max="6" width="5.44140625" style="1" hidden="1" customWidth="1"/>
    <col min="7" max="7" width="19.44140625" style="1" hidden="1" customWidth="1"/>
    <col min="8" max="8" width="11.44140625" style="1"/>
    <col min="9" max="9" width="59.33203125" style="1" bestFit="1" customWidth="1"/>
    <col min="10" max="10" width="11.44140625" style="1"/>
    <col min="11" max="12" width="11.44140625" style="1" hidden="1" customWidth="1"/>
    <col min="13" max="13" width="0" style="1" hidden="1" customWidth="1"/>
    <col min="14" max="14" width="18" style="1" hidden="1" customWidth="1"/>
    <col min="15" max="16" width="0" style="1" hidden="1" customWidth="1"/>
    <col min="17" max="17" width="26.33203125" style="1" hidden="1" customWidth="1"/>
    <col min="18" max="18" width="0" style="1" hidden="1" customWidth="1"/>
    <col min="19" max="16384" width="11.44140625" style="1"/>
  </cols>
  <sheetData>
    <row r="3" spans="2:18" x14ac:dyDescent="0.25">
      <c r="B3" s="737" t="s">
        <v>183</v>
      </c>
      <c r="C3" s="739"/>
      <c r="D3" s="738"/>
      <c r="E3" s="4"/>
      <c r="F3" s="4"/>
      <c r="G3" s="4"/>
      <c r="I3" s="8" t="s">
        <v>184</v>
      </c>
    </row>
    <row r="4" spans="2:18" x14ac:dyDescent="0.25">
      <c r="C4" s="6"/>
      <c r="D4" s="6"/>
      <c r="E4" s="6"/>
      <c r="F4" s="7"/>
      <c r="G4" s="7"/>
    </row>
    <row r="5" spans="2:18" ht="14.4" x14ac:dyDescent="0.25">
      <c r="E5" s="1" t="s">
        <v>185</v>
      </c>
      <c r="F5" s="363" t="s">
        <v>186</v>
      </c>
      <c r="G5" s="363" t="s">
        <v>187</v>
      </c>
      <c r="R5" s="1" t="s">
        <v>281</v>
      </c>
    </row>
    <row r="6" spans="2:18" ht="14.4" x14ac:dyDescent="0.25">
      <c r="B6" s="750" t="s">
        <v>188</v>
      </c>
      <c r="C6" s="4" t="s">
        <v>189</v>
      </c>
      <c r="D6" s="3" t="s">
        <v>190</v>
      </c>
      <c r="E6" s="3">
        <v>1</v>
      </c>
      <c r="F6" s="3">
        <v>1.5</v>
      </c>
      <c r="G6" s="3">
        <v>1.5</v>
      </c>
      <c r="I6" s="5" t="s">
        <v>191</v>
      </c>
      <c r="K6" s="4" t="s">
        <v>192</v>
      </c>
      <c r="L6" s="4">
        <v>1</v>
      </c>
      <c r="N6" s="4"/>
      <c r="O6" s="4" t="s">
        <v>282</v>
      </c>
      <c r="Q6" s="516" t="s">
        <v>283</v>
      </c>
      <c r="R6" s="517">
        <v>76000</v>
      </c>
    </row>
    <row r="7" spans="2:18" ht="14.4" x14ac:dyDescent="0.25">
      <c r="B7" s="750"/>
      <c r="C7" s="4" t="s">
        <v>193</v>
      </c>
      <c r="D7" s="367" t="s">
        <v>194</v>
      </c>
      <c r="E7" s="3">
        <v>1</v>
      </c>
      <c r="F7" s="3">
        <v>1</v>
      </c>
      <c r="G7" s="3">
        <v>1</v>
      </c>
      <c r="I7" s="5" t="s">
        <v>195</v>
      </c>
      <c r="K7" s="4" t="s">
        <v>196</v>
      </c>
      <c r="L7" s="4">
        <v>2</v>
      </c>
      <c r="N7" s="4" t="s">
        <v>284</v>
      </c>
      <c r="O7" s="518">
        <v>0.12</v>
      </c>
      <c r="Q7" s="516" t="s">
        <v>277</v>
      </c>
      <c r="R7" s="517">
        <v>54000</v>
      </c>
    </row>
    <row r="8" spans="2:18" ht="14.4" x14ac:dyDescent="0.25">
      <c r="B8" s="750"/>
      <c r="C8" s="5" t="s">
        <v>197</v>
      </c>
      <c r="D8" s="367" t="s">
        <v>198</v>
      </c>
      <c r="E8" s="3">
        <v>1</v>
      </c>
      <c r="F8" s="3">
        <v>0.66</v>
      </c>
      <c r="G8" s="3">
        <v>0.66</v>
      </c>
      <c r="I8" s="5" t="s">
        <v>199</v>
      </c>
      <c r="K8" s="4" t="s">
        <v>200</v>
      </c>
      <c r="L8" s="4">
        <v>2</v>
      </c>
      <c r="N8" s="4" t="s">
        <v>285</v>
      </c>
      <c r="O8" s="518">
        <v>0.04</v>
      </c>
      <c r="Q8" s="516" t="s">
        <v>286</v>
      </c>
      <c r="R8" s="517">
        <v>44000</v>
      </c>
    </row>
    <row r="9" spans="2:18" ht="14.4" x14ac:dyDescent="0.25">
      <c r="B9" s="750" t="s">
        <v>201</v>
      </c>
      <c r="C9" s="4" t="s">
        <v>202</v>
      </c>
      <c r="D9" s="367" t="s">
        <v>203</v>
      </c>
      <c r="E9" s="367">
        <v>0</v>
      </c>
      <c r="F9" s="3">
        <v>0</v>
      </c>
      <c r="G9" s="3">
        <v>1</v>
      </c>
      <c r="I9" s="5" t="s">
        <v>204</v>
      </c>
      <c r="K9" s="4" t="s">
        <v>205</v>
      </c>
      <c r="L9" s="4">
        <v>3</v>
      </c>
      <c r="N9" s="4" t="s">
        <v>287</v>
      </c>
      <c r="O9" s="518">
        <v>0.04</v>
      </c>
      <c r="Q9" s="516" t="s">
        <v>288</v>
      </c>
      <c r="R9" s="517">
        <v>46000</v>
      </c>
    </row>
    <row r="10" spans="2:18" ht="14.4" x14ac:dyDescent="0.25">
      <c r="B10" s="750"/>
      <c r="C10" s="5" t="s">
        <v>206</v>
      </c>
      <c r="D10" s="367" t="s">
        <v>207</v>
      </c>
      <c r="E10" s="3">
        <v>1</v>
      </c>
      <c r="F10" s="3">
        <v>1</v>
      </c>
      <c r="G10" s="3">
        <v>1</v>
      </c>
      <c r="I10" s="5" t="s">
        <v>208</v>
      </c>
      <c r="K10" s="4" t="s">
        <v>209</v>
      </c>
      <c r="L10" s="4">
        <v>3</v>
      </c>
      <c r="Q10" s="516" t="s">
        <v>289</v>
      </c>
      <c r="R10" s="517">
        <v>31000</v>
      </c>
    </row>
    <row r="11" spans="2:18" ht="14.4" x14ac:dyDescent="0.25">
      <c r="B11" s="750"/>
      <c r="C11" s="5" t="s">
        <v>210</v>
      </c>
      <c r="D11" s="367" t="s">
        <v>211</v>
      </c>
      <c r="E11" s="3">
        <v>1</v>
      </c>
      <c r="F11" s="3">
        <v>1.5</v>
      </c>
      <c r="G11" s="3">
        <v>1.5</v>
      </c>
      <c r="I11" s="5" t="s">
        <v>212</v>
      </c>
      <c r="K11" s="4" t="s">
        <v>213</v>
      </c>
      <c r="L11" s="4">
        <v>2</v>
      </c>
      <c r="Q11" s="516" t="s">
        <v>279</v>
      </c>
      <c r="R11" s="517">
        <v>29000</v>
      </c>
    </row>
    <row r="12" spans="2:18" ht="14.4" x14ac:dyDescent="0.25">
      <c r="B12" s="750"/>
      <c r="C12" s="4" t="s">
        <v>214</v>
      </c>
      <c r="D12" s="367" t="s">
        <v>215</v>
      </c>
      <c r="E12" s="3">
        <v>0</v>
      </c>
      <c r="F12" s="3">
        <v>0</v>
      </c>
      <c r="G12" s="3">
        <v>1</v>
      </c>
      <c r="I12" s="5" t="s">
        <v>216</v>
      </c>
      <c r="K12" s="4" t="s">
        <v>217</v>
      </c>
      <c r="L12" s="4">
        <v>3</v>
      </c>
    </row>
    <row r="13" spans="2:18" ht="14.4" x14ac:dyDescent="0.25">
      <c r="B13" s="750"/>
      <c r="C13" s="5" t="s">
        <v>218</v>
      </c>
      <c r="D13" s="367" t="s">
        <v>219</v>
      </c>
      <c r="E13" s="3">
        <v>1</v>
      </c>
      <c r="F13" s="3">
        <v>1</v>
      </c>
      <c r="G13" s="3">
        <v>1</v>
      </c>
      <c r="I13" s="5" t="s">
        <v>220</v>
      </c>
    </row>
    <row r="14" spans="2:18" ht="14.4" x14ac:dyDescent="0.25">
      <c r="B14" s="750"/>
      <c r="C14" s="5" t="s">
        <v>221</v>
      </c>
      <c r="D14" s="367" t="s">
        <v>222</v>
      </c>
      <c r="E14" s="3">
        <v>1</v>
      </c>
      <c r="F14" s="3">
        <v>1.5</v>
      </c>
      <c r="G14" s="3">
        <v>1.5</v>
      </c>
      <c r="I14" s="5" t="s">
        <v>223</v>
      </c>
    </row>
    <row r="15" spans="2:18" ht="14.4" x14ac:dyDescent="0.25">
      <c r="B15" s="750"/>
      <c r="C15" s="4" t="s">
        <v>224</v>
      </c>
      <c r="D15" s="367" t="s">
        <v>225</v>
      </c>
      <c r="E15" s="3">
        <v>0</v>
      </c>
      <c r="F15" s="3">
        <v>0</v>
      </c>
      <c r="G15" s="3">
        <v>1</v>
      </c>
      <c r="I15" s="5" t="s">
        <v>226</v>
      </c>
    </row>
    <row r="16" spans="2:18" ht="14.4" x14ac:dyDescent="0.25">
      <c r="B16" s="750"/>
      <c r="C16" s="5" t="s">
        <v>227</v>
      </c>
      <c r="D16" s="367" t="s">
        <v>228</v>
      </c>
      <c r="E16" s="3">
        <v>1</v>
      </c>
      <c r="F16" s="3">
        <v>1</v>
      </c>
      <c r="G16" s="3">
        <v>1</v>
      </c>
      <c r="I16" s="5" t="s">
        <v>229</v>
      </c>
    </row>
    <row r="17" spans="2:19" ht="14.4" x14ac:dyDescent="0.25">
      <c r="B17" s="750"/>
      <c r="C17" s="5" t="s">
        <v>230</v>
      </c>
      <c r="D17" s="367" t="s">
        <v>231</v>
      </c>
      <c r="E17" s="3">
        <v>1</v>
      </c>
      <c r="F17" s="3">
        <v>1.5</v>
      </c>
      <c r="G17" s="3">
        <v>1.5</v>
      </c>
      <c r="I17" s="5" t="s">
        <v>232</v>
      </c>
    </row>
    <row r="18" spans="2:19" ht="14.4" x14ac:dyDescent="0.25">
      <c r="B18" s="750"/>
      <c r="C18" s="4" t="s">
        <v>233</v>
      </c>
      <c r="D18" s="367" t="s">
        <v>234</v>
      </c>
      <c r="E18" s="3">
        <v>0</v>
      </c>
      <c r="F18" s="3">
        <v>0</v>
      </c>
      <c r="G18" s="3">
        <v>1</v>
      </c>
      <c r="I18" s="2"/>
    </row>
    <row r="19" spans="2:19" ht="14.4" x14ac:dyDescent="0.25">
      <c r="B19" s="750"/>
      <c r="C19" s="5" t="s">
        <v>235</v>
      </c>
      <c r="D19" s="367" t="s">
        <v>236</v>
      </c>
      <c r="E19" s="3">
        <v>1</v>
      </c>
      <c r="F19" s="3">
        <v>1</v>
      </c>
      <c r="G19" s="3">
        <v>1</v>
      </c>
      <c r="I19" s="2"/>
    </row>
    <row r="20" spans="2:19" ht="14.4" x14ac:dyDescent="0.25">
      <c r="B20" s="750"/>
      <c r="C20" s="5" t="s">
        <v>237</v>
      </c>
      <c r="D20" s="367" t="s">
        <v>238</v>
      </c>
      <c r="E20" s="3">
        <v>1</v>
      </c>
      <c r="F20" s="3">
        <v>1.5</v>
      </c>
      <c r="G20" s="3">
        <v>1.5</v>
      </c>
    </row>
    <row r="21" spans="2:19" ht="14.4" x14ac:dyDescent="0.25">
      <c r="B21" s="750"/>
      <c r="C21" s="4" t="s">
        <v>239</v>
      </c>
      <c r="D21" s="367" t="s">
        <v>240</v>
      </c>
      <c r="E21" s="3">
        <v>0</v>
      </c>
      <c r="F21" s="3">
        <v>0</v>
      </c>
      <c r="G21" s="3">
        <v>1</v>
      </c>
    </row>
    <row r="22" spans="2:19" ht="14.4" x14ac:dyDescent="0.25">
      <c r="B22" s="750"/>
      <c r="C22" s="4" t="s">
        <v>241</v>
      </c>
      <c r="D22" s="367" t="s">
        <v>242</v>
      </c>
      <c r="E22" s="3">
        <v>0</v>
      </c>
      <c r="F22" s="3">
        <v>0</v>
      </c>
      <c r="G22" s="3">
        <v>1</v>
      </c>
    </row>
    <row r="23" spans="2:19" ht="14.4" x14ac:dyDescent="0.25">
      <c r="B23" s="750"/>
      <c r="C23" s="5" t="s">
        <v>243</v>
      </c>
      <c r="D23" s="367" t="s">
        <v>244</v>
      </c>
      <c r="E23" s="367">
        <v>1</v>
      </c>
      <c r="F23" s="3">
        <v>1</v>
      </c>
      <c r="G23" s="3">
        <v>1</v>
      </c>
    </row>
    <row r="24" spans="2:19" ht="14.4" x14ac:dyDescent="0.25">
      <c r="B24" s="750"/>
      <c r="C24" s="5" t="s">
        <v>245</v>
      </c>
      <c r="D24" s="5" t="s">
        <v>246</v>
      </c>
      <c r="E24" s="4">
        <v>1</v>
      </c>
      <c r="F24" s="3">
        <v>1.5</v>
      </c>
      <c r="G24" s="3">
        <v>1.5</v>
      </c>
    </row>
    <row r="25" spans="2:19" ht="14.4" x14ac:dyDescent="0.25">
      <c r="B25" s="750"/>
      <c r="C25" s="4" t="s">
        <v>247</v>
      </c>
      <c r="D25" s="5" t="s">
        <v>248</v>
      </c>
      <c r="E25" s="5">
        <v>0</v>
      </c>
      <c r="F25" s="3">
        <v>0</v>
      </c>
      <c r="G25" s="3">
        <v>1</v>
      </c>
    </row>
    <row r="26" spans="2:19" x14ac:dyDescent="0.25">
      <c r="B26" s="750"/>
      <c r="C26" s="5" t="s">
        <v>249</v>
      </c>
      <c r="D26" s="5" t="s">
        <v>250</v>
      </c>
      <c r="E26" s="5">
        <v>1</v>
      </c>
      <c r="F26" s="4">
        <v>1</v>
      </c>
      <c r="G26" s="4">
        <v>1</v>
      </c>
    </row>
    <row r="27" spans="2:19" x14ac:dyDescent="0.25">
      <c r="B27" s="750"/>
      <c r="C27" s="5" t="s">
        <v>251</v>
      </c>
      <c r="D27" s="5" t="s">
        <v>252</v>
      </c>
      <c r="E27" s="5">
        <v>1</v>
      </c>
      <c r="F27" s="4">
        <v>1.5</v>
      </c>
      <c r="G27" s="4">
        <v>1.5</v>
      </c>
    </row>
    <row r="31" spans="2:19" ht="13.8" x14ac:dyDescent="0.25">
      <c r="S31" s="108"/>
    </row>
    <row r="32" spans="2:19" ht="13.8" x14ac:dyDescent="0.25">
      <c r="S32" s="108"/>
    </row>
  </sheetData>
  <sortState ref="I6:I16">
    <sortCondition ref="I6"/>
  </sortState>
  <mergeCells count="3">
    <mergeCell ref="B6:B8"/>
    <mergeCell ref="B9:B27"/>
    <mergeCell ref="B3:D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883798A9BA4244B5FA0C3D619B8538" ma:contentTypeVersion="2" ma:contentTypeDescription="Crée un document." ma:contentTypeScope="" ma:versionID="47807cc1cb2c9e4c12a887f09046726a">
  <xsd:schema xmlns:xsd="http://www.w3.org/2001/XMLSchema" xmlns:xs="http://www.w3.org/2001/XMLSchema" xmlns:p="http://schemas.microsoft.com/office/2006/metadata/properties" xmlns:ns2="c5b0bad3-fadf-479e-9086-aac596ec4e1f" targetNamespace="http://schemas.microsoft.com/office/2006/metadata/properties" ma:root="true" ma:fieldsID="e55d3002b07b04eeb3e4f4f9820ca6cc" ns2:_="">
    <xsd:import namespace="c5b0bad3-fadf-479e-9086-aac596ec4e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0bad3-fadf-479e-9086-aac596ec4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73C351-4063-4F52-AEE7-F4B861993FDF}">
  <ds:schemaRefs>
    <ds:schemaRef ds:uri="http://schemas.microsoft.com/sharepoint/v3/contenttype/forms"/>
  </ds:schemaRefs>
</ds:datastoreItem>
</file>

<file path=customXml/itemProps2.xml><?xml version="1.0" encoding="utf-8"?>
<ds:datastoreItem xmlns:ds="http://schemas.openxmlformats.org/officeDocument/2006/customXml" ds:itemID="{21BF02B6-12E8-4D75-A7FD-1FDF6D9A1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0bad3-fadf-479e-9086-aac596ec4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98E34E-358E-443D-9A1B-BBAABD47E4EF}">
  <ds:schemaRefs>
    <ds:schemaRef ds:uri="c5b0bad3-fadf-479e-9086-aac596ec4e1f"/>
    <ds:schemaRef ds:uri="http://www.w3.org/XML/1998/namespac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Enseignements</vt:lpstr>
      <vt:lpstr>Recettes et simulat</vt:lpstr>
      <vt:lpstr>Budget détaillé</vt:lpstr>
      <vt:lpstr>Excédent mobilisable</vt:lpstr>
      <vt:lpstr>comparatif simplifié</vt:lpstr>
      <vt:lpstr>calcul heures</vt:lpstr>
      <vt:lpstr>Contrôles SCFC</vt:lpstr>
      <vt:lpstr>Paramétrage</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Agathe Valley</dc:creator>
  <cp:keywords/>
  <dc:description/>
  <cp:lastModifiedBy>Aude Petignier</cp:lastModifiedBy>
  <cp:revision/>
  <dcterms:created xsi:type="dcterms:W3CDTF">2001-05-25T13:39:11Z</dcterms:created>
  <dcterms:modified xsi:type="dcterms:W3CDTF">2023-11-14T15:30:17Z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0x010100B7883798A9BA4244B5FA0C3D619B8538</vt:lpwstr>
  </property>
</Properties>
</file>