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16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MATRICESFINANCIERES/Documents partages/General/NOUVEAUX PARCOURS ALT/Mixte FI Alt/ICOM_M2 NPJ/"/>
    </mc:Choice>
  </mc:AlternateContent>
  <xr:revisionPtr revIDLastSave="3" documentId="11_2717092E269496AD558A382C24AD13D1ADE05BBA" xr6:coauthVersionLast="47" xr6:coauthVersionMax="47" xr10:uidLastSave="{E7732D05-D011-4BE7-8255-C2477EC1537B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0" yWindow="0" windowWidth="20496" windowHeight="7092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8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" i="39" l="1"/>
  <c r="O2" i="39"/>
  <c r="R2" i="39" s="1"/>
  <c r="S2" i="39" s="1"/>
  <c r="Y62" i="39" l="1"/>
  <c r="AD62" i="39"/>
  <c r="AC62" i="39"/>
  <c r="AD61" i="39"/>
  <c r="AC61" i="39"/>
  <c r="AD60" i="39"/>
  <c r="AC60" i="39"/>
  <c r="AD59" i="39"/>
  <c r="AC59" i="39"/>
  <c r="Y13" i="39"/>
  <c r="Y14" i="39"/>
  <c r="Y15" i="39"/>
  <c r="Y16" i="39"/>
  <c r="AD13" i="39"/>
  <c r="AC13" i="39" s="1"/>
  <c r="AD14" i="39"/>
  <c r="AC14" i="39" s="1"/>
  <c r="AD15" i="39"/>
  <c r="AC15" i="39" s="1"/>
  <c r="AD16" i="39"/>
  <c r="AC16" i="39" s="1"/>
  <c r="AD24" i="39"/>
  <c r="AD25" i="39"/>
  <c r="AD26" i="39"/>
  <c r="P24" i="39"/>
  <c r="Q24" i="39" s="1"/>
  <c r="Y24" i="39"/>
  <c r="P25" i="39"/>
  <c r="Q25" i="39"/>
  <c r="T25" i="39" s="1"/>
  <c r="S25" i="39"/>
  <c r="Y25" i="39"/>
  <c r="P26" i="39"/>
  <c r="Q26" i="39"/>
  <c r="S26" i="39" s="1"/>
  <c r="T26" i="39"/>
  <c r="Y26" i="39"/>
  <c r="T24" i="39" l="1"/>
  <c r="S24" i="39"/>
  <c r="Q62" i="39" l="1"/>
  <c r="S62" i="39" s="1"/>
  <c r="P59" i="39"/>
  <c r="Q59" i="39" s="1"/>
  <c r="S59" i="39" s="1"/>
  <c r="U59" i="39" s="1"/>
  <c r="Y59" i="39" s="1"/>
  <c r="P60" i="39"/>
  <c r="Q60" i="39" s="1"/>
  <c r="S60" i="39" s="1"/>
  <c r="U60" i="39" s="1"/>
  <c r="Y60" i="39" s="1"/>
  <c r="P61" i="39"/>
  <c r="Q61" i="39" s="1"/>
  <c r="S61" i="39" s="1"/>
  <c r="U61" i="39" s="1"/>
  <c r="Y61" i="39" s="1"/>
  <c r="P62" i="39"/>
  <c r="Q16" i="39"/>
  <c r="S16" i="39" s="1"/>
  <c r="P13" i="39"/>
  <c r="Q13" i="39" s="1"/>
  <c r="T13" i="39" s="1"/>
  <c r="P14" i="39"/>
  <c r="Q14" i="39" s="1"/>
  <c r="S14" i="39" s="1"/>
  <c r="P15" i="39"/>
  <c r="Q15" i="39" s="1"/>
  <c r="P16" i="39"/>
  <c r="T62" i="39" l="1"/>
  <c r="T61" i="39"/>
  <c r="T60" i="39"/>
  <c r="T59" i="39"/>
  <c r="S13" i="39"/>
  <c r="T16" i="39"/>
  <c r="S15" i="39"/>
  <c r="T15" i="39" s="1"/>
  <c r="T14" i="39"/>
  <c r="I76" i="39" l="1"/>
  <c r="AD76" i="39" l="1"/>
  <c r="AC76" i="39" s="1"/>
  <c r="P76" i="39"/>
  <c r="Q76" i="39" s="1"/>
  <c r="I70" i="39"/>
  <c r="I71" i="39"/>
  <c r="I20" i="39"/>
  <c r="I21" i="39"/>
  <c r="AD21" i="39" l="1"/>
  <c r="AC21" i="39" s="1"/>
  <c r="AD20" i="39"/>
  <c r="AC20" i="39" s="1"/>
  <c r="AC24" i="39"/>
  <c r="AC25" i="39"/>
  <c r="AC26" i="39"/>
  <c r="S76" i="39"/>
  <c r="U76" i="39" s="1"/>
  <c r="Y76" i="39" s="1"/>
  <c r="T76" i="39"/>
  <c r="I56" i="39"/>
  <c r="I63" i="39"/>
  <c r="I64" i="39"/>
  <c r="AD64" i="39" s="1"/>
  <c r="I65" i="39"/>
  <c r="I66" i="39"/>
  <c r="I67" i="39"/>
  <c r="I55" i="39"/>
  <c r="I9" i="39"/>
  <c r="I10" i="39"/>
  <c r="I17" i="39"/>
  <c r="I8" i="39"/>
  <c r="AC77" i="39"/>
  <c r="AC78" i="39"/>
  <c r="AC79" i="39"/>
  <c r="AC80" i="39"/>
  <c r="AC81" i="39"/>
  <c r="AC82" i="39"/>
  <c r="AC83" i="39"/>
  <c r="AC84" i="39"/>
  <c r="AC85" i="39"/>
  <c r="AC86" i="39"/>
  <c r="AC87" i="39"/>
  <c r="AC88" i="39"/>
  <c r="AC89" i="39"/>
  <c r="AC90" i="39"/>
  <c r="AC91" i="39"/>
  <c r="AC92" i="39"/>
  <c r="AC93" i="39"/>
  <c r="AC94" i="39"/>
  <c r="AC95" i="39"/>
  <c r="AC96" i="39"/>
  <c r="AC97" i="39"/>
  <c r="AC98" i="39"/>
  <c r="AC99" i="39"/>
  <c r="AC27" i="39"/>
  <c r="AC28" i="39"/>
  <c r="AC29" i="39"/>
  <c r="AC30" i="39"/>
  <c r="AC31" i="39"/>
  <c r="AC32" i="39"/>
  <c r="AC33" i="39"/>
  <c r="AC34" i="39"/>
  <c r="AC35" i="39"/>
  <c r="AC36" i="39"/>
  <c r="AC37" i="39"/>
  <c r="AC38" i="39"/>
  <c r="AC39" i="39"/>
  <c r="AC40" i="39"/>
  <c r="AC41" i="39"/>
  <c r="AC42" i="39"/>
  <c r="AC43" i="39"/>
  <c r="AC44" i="39"/>
  <c r="AC45" i="39"/>
  <c r="AC46" i="39"/>
  <c r="AC47" i="39"/>
  <c r="AC48" i="39"/>
  <c r="AC49" i="39"/>
  <c r="AC50" i="39"/>
  <c r="AC51" i="39"/>
  <c r="AC52" i="39"/>
  <c r="AC53" i="39"/>
  <c r="AD17" i="39" l="1"/>
  <c r="AD65" i="39"/>
  <c r="AC65" i="39"/>
  <c r="AC64" i="39"/>
  <c r="AD63" i="39"/>
  <c r="AC63" i="39"/>
  <c r="H12" i="39"/>
  <c r="R22" i="41" l="1"/>
  <c r="R25" i="41"/>
  <c r="R26" i="41"/>
  <c r="R24" i="41"/>
  <c r="G19" i="41" l="1"/>
  <c r="Q66" i="39" l="1"/>
  <c r="Q68" i="39"/>
  <c r="Q71" i="39"/>
  <c r="Q72" i="39"/>
  <c r="Q73" i="39"/>
  <c r="Q74" i="39"/>
  <c r="Q75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89" i="39"/>
  <c r="Q90" i="39"/>
  <c r="Q91" i="39"/>
  <c r="Q92" i="39"/>
  <c r="Q93" i="39"/>
  <c r="Q94" i="39"/>
  <c r="Q95" i="39"/>
  <c r="Q96" i="39"/>
  <c r="Q97" i="39"/>
  <c r="Q98" i="39"/>
  <c r="Q99" i="39"/>
  <c r="Q27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Q48" i="39"/>
  <c r="Q49" i="39"/>
  <c r="Q50" i="39"/>
  <c r="Q51" i="39"/>
  <c r="Q52" i="39"/>
  <c r="Q53" i="39"/>
  <c r="X100" i="39" l="1"/>
  <c r="X54" i="39"/>
  <c r="X7" i="39" l="1"/>
  <c r="P99" i="39" l="1"/>
  <c r="P98" i="39"/>
  <c r="P97" i="39"/>
  <c r="P96" i="39"/>
  <c r="P95" i="39"/>
  <c r="P94" i="39"/>
  <c r="P93" i="39"/>
  <c r="P92" i="39"/>
  <c r="P91" i="39"/>
  <c r="P90" i="39"/>
  <c r="P89" i="39"/>
  <c r="P88" i="39"/>
  <c r="P87" i="39"/>
  <c r="P86" i="39"/>
  <c r="P85" i="39"/>
  <c r="P84" i="39"/>
  <c r="P83" i="39"/>
  <c r="P82" i="39"/>
  <c r="P81" i="39"/>
  <c r="P80" i="39"/>
  <c r="P79" i="39"/>
  <c r="P78" i="39"/>
  <c r="P77" i="39"/>
  <c r="P75" i="39"/>
  <c r="P74" i="39"/>
  <c r="P73" i="39"/>
  <c r="P72" i="39"/>
  <c r="P71" i="39"/>
  <c r="P70" i="39"/>
  <c r="Q70" i="39" s="1"/>
  <c r="S70" i="39" s="1"/>
  <c r="U70" i="39" s="1"/>
  <c r="P69" i="39"/>
  <c r="Q69" i="39" s="1"/>
  <c r="S69" i="39" s="1"/>
  <c r="P68" i="39"/>
  <c r="P67" i="39"/>
  <c r="Q67" i="39" s="1"/>
  <c r="P66" i="39"/>
  <c r="P65" i="39"/>
  <c r="P64" i="39"/>
  <c r="P63" i="39"/>
  <c r="P58" i="39"/>
  <c r="P57" i="39"/>
  <c r="P56" i="39"/>
  <c r="P55" i="39"/>
  <c r="Q55" i="39" s="1"/>
  <c r="P53" i="39"/>
  <c r="P52" i="39"/>
  <c r="P51" i="39"/>
  <c r="P50" i="39"/>
  <c r="P49" i="39"/>
  <c r="P48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9" i="39"/>
  <c r="Q9" i="39" s="1"/>
  <c r="P10" i="39"/>
  <c r="Q10" i="39" s="1"/>
  <c r="P11" i="39"/>
  <c r="Q11" i="39" s="1"/>
  <c r="P12" i="39"/>
  <c r="Q12" i="39" s="1"/>
  <c r="P17" i="39"/>
  <c r="Q17" i="39" s="1"/>
  <c r="P18" i="39"/>
  <c r="Q18" i="39" s="1"/>
  <c r="P19" i="39"/>
  <c r="Q19" i="39" s="1"/>
  <c r="P20" i="39"/>
  <c r="Q20" i="39" s="1"/>
  <c r="P21" i="39"/>
  <c r="Q21" i="39" s="1"/>
  <c r="P22" i="39"/>
  <c r="Q22" i="39" s="1"/>
  <c r="P23" i="39"/>
  <c r="P27" i="39"/>
  <c r="P28" i="39"/>
  <c r="P29" i="39"/>
  <c r="P30" i="39"/>
  <c r="P31" i="39"/>
  <c r="P32" i="39"/>
  <c r="P33" i="39"/>
  <c r="P8" i="39"/>
  <c r="Q8" i="39" s="1"/>
  <c r="T8" i="39" s="1"/>
  <c r="S66" i="39"/>
  <c r="U66" i="39" s="1"/>
  <c r="S33" i="39"/>
  <c r="S31" i="39"/>
  <c r="S27" i="39"/>
  <c r="S99" i="39"/>
  <c r="S98" i="39"/>
  <c r="S97" i="39"/>
  <c r="S96" i="39"/>
  <c r="S95" i="39"/>
  <c r="S94" i="39"/>
  <c r="S93" i="39"/>
  <c r="S92" i="39"/>
  <c r="S91" i="39"/>
  <c r="S90" i="39"/>
  <c r="S89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4" i="39"/>
  <c r="S73" i="39"/>
  <c r="S71" i="39"/>
  <c r="S53" i="39"/>
  <c r="S52" i="39"/>
  <c r="S51" i="39"/>
  <c r="S50" i="39"/>
  <c r="S49" i="39"/>
  <c r="S48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0" i="39"/>
  <c r="S32" i="39"/>
  <c r="Q56" i="39" l="1"/>
  <c r="S56" i="39" s="1"/>
  <c r="W56" i="39" s="1"/>
  <c r="Q58" i="39"/>
  <c r="S58" i="39" s="1"/>
  <c r="U58" i="39" s="1"/>
  <c r="Q63" i="39"/>
  <c r="S63" i="39" s="1"/>
  <c r="W63" i="39" s="1"/>
  <c r="Q64" i="39"/>
  <c r="Q28" i="39"/>
  <c r="S28" i="39" s="1"/>
  <c r="Q65" i="39"/>
  <c r="S65" i="39" s="1"/>
  <c r="Q57" i="39"/>
  <c r="S57" i="39" s="1"/>
  <c r="W57" i="39" s="1"/>
  <c r="Q23" i="39"/>
  <c r="S22" i="39"/>
  <c r="U22" i="39" s="1"/>
  <c r="S21" i="39"/>
  <c r="U21" i="39" s="1"/>
  <c r="S10" i="39"/>
  <c r="U10" i="39" s="1"/>
  <c r="S20" i="39"/>
  <c r="U20" i="39" s="1"/>
  <c r="V20" i="39" s="1"/>
  <c r="S9" i="39"/>
  <c r="U9" i="39" s="1"/>
  <c r="S19" i="39"/>
  <c r="U19" i="39" s="1"/>
  <c r="S18" i="39"/>
  <c r="U18" i="39" s="1"/>
  <c r="Y18" i="39" s="1"/>
  <c r="S17" i="39"/>
  <c r="W17" i="39" s="1"/>
  <c r="Y17" i="39" s="1"/>
  <c r="S55" i="39"/>
  <c r="V55" i="39" s="1"/>
  <c r="V100" i="39" s="1"/>
  <c r="S12" i="39"/>
  <c r="U12" i="39" s="1"/>
  <c r="S11" i="39"/>
  <c r="W11" i="39" s="1"/>
  <c r="S8" i="39"/>
  <c r="U8" i="39" s="1"/>
  <c r="R23" i="41" l="1"/>
  <c r="G17" i="41"/>
  <c r="G18" i="41"/>
  <c r="R18" i="41" s="1"/>
  <c r="S18" i="41" s="1"/>
  <c r="Q100" i="39"/>
  <c r="S64" i="39"/>
  <c r="W64" i="39" s="1"/>
  <c r="R15" i="41" s="1"/>
  <c r="T10" i="39"/>
  <c r="Q54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O55" i="42"/>
  <c r="N55" i="42"/>
  <c r="M55" i="42"/>
  <c r="L55" i="42"/>
  <c r="P54" i="42"/>
  <c r="P53" i="42"/>
  <c r="P52" i="42"/>
  <c r="P51" i="42"/>
  <c r="O50" i="42"/>
  <c r="O59" i="42" s="1"/>
  <c r="N50" i="42"/>
  <c r="N59" i="42" s="1"/>
  <c r="M50" i="42"/>
  <c r="M59" i="42" s="1"/>
  <c r="L50" i="42"/>
  <c r="L59" i="42" s="1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O20" i="42"/>
  <c r="N20" i="42"/>
  <c r="M20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P50" i="42" l="1"/>
  <c r="P55" i="42"/>
  <c r="M14" i="42"/>
  <c r="N14" i="42"/>
  <c r="P27" i="42"/>
  <c r="O14" i="42"/>
  <c r="L46" i="42"/>
  <c r="L62" i="42" s="1"/>
  <c r="L75" i="42" s="1"/>
  <c r="M46" i="42"/>
  <c r="M62" i="42" s="1"/>
  <c r="M75" i="42" s="1"/>
  <c r="O46" i="42"/>
  <c r="Q101" i="39"/>
  <c r="G32" i="42"/>
  <c r="I29" i="42"/>
  <c r="R29" i="42" s="1"/>
  <c r="P59" i="42"/>
  <c r="P32" i="42"/>
  <c r="N46" i="42"/>
  <c r="N62" i="42" s="1"/>
  <c r="N75" i="42" s="1"/>
  <c r="P35" i="42"/>
  <c r="P72" i="42"/>
  <c r="P20" i="42"/>
  <c r="L14" i="42"/>
  <c r="O62" i="42"/>
  <c r="O75" i="42" s="1"/>
  <c r="I35" i="42"/>
  <c r="I45" i="42" s="1"/>
  <c r="P14" i="42"/>
  <c r="P46" i="42" l="1"/>
  <c r="P62" i="42" s="1"/>
  <c r="S29" i="42"/>
  <c r="U29" i="42"/>
  <c r="T29" i="42"/>
  <c r="P75" i="42"/>
  <c r="L64" i="41" l="1"/>
  <c r="M64" i="41"/>
  <c r="N64" i="41"/>
  <c r="O64" i="41"/>
  <c r="P64" i="41"/>
  <c r="K8" i="41" l="1"/>
  <c r="J8" i="41"/>
  <c r="H7" i="41"/>
  <c r="E7" i="41"/>
  <c r="H6" i="41"/>
  <c r="D6" i="41"/>
  <c r="H5" i="41"/>
  <c r="H51" i="41" s="1"/>
  <c r="D5" i="41"/>
  <c r="G19" i="42"/>
  <c r="I19" i="42" s="1"/>
  <c r="Y99" i="39"/>
  <c r="Y98" i="39"/>
  <c r="Y97" i="39"/>
  <c r="Y96" i="39"/>
  <c r="Y95" i="39"/>
  <c r="Y94" i="39"/>
  <c r="Y93" i="39"/>
  <c r="Y92" i="39"/>
  <c r="Y91" i="39"/>
  <c r="Y90" i="39"/>
  <c r="Y89" i="39"/>
  <c r="Y88" i="39"/>
  <c r="Y87" i="39"/>
  <c r="Y86" i="39"/>
  <c r="Y85" i="39"/>
  <c r="Y84" i="39"/>
  <c r="Y83" i="39"/>
  <c r="Y82" i="39"/>
  <c r="Y81" i="39"/>
  <c r="Y80" i="39"/>
  <c r="Y79" i="39"/>
  <c r="Y78" i="39"/>
  <c r="Y77" i="39"/>
  <c r="Y75" i="39"/>
  <c r="Y74" i="39"/>
  <c r="Y73" i="39"/>
  <c r="Y72" i="39"/>
  <c r="Y71" i="39"/>
  <c r="Y70" i="39"/>
  <c r="Y66" i="39"/>
  <c r="Y53" i="39"/>
  <c r="Y52" i="39"/>
  <c r="Y51" i="39"/>
  <c r="Y50" i="39"/>
  <c r="Y49" i="39"/>
  <c r="Y48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10" i="39"/>
  <c r="Y30" i="39"/>
  <c r="Y31" i="39"/>
  <c r="Y32" i="39"/>
  <c r="Y33" i="39"/>
  <c r="Y8" i="39"/>
  <c r="H57" i="41" l="1"/>
  <c r="H54" i="41"/>
  <c r="H53" i="41"/>
  <c r="H58" i="41"/>
  <c r="H56" i="41"/>
  <c r="H52" i="41"/>
  <c r="Q19" i="42"/>
  <c r="V19" i="42" s="1"/>
  <c r="S19" i="42"/>
  <c r="T19" i="42"/>
  <c r="U19" i="42"/>
  <c r="R19" i="42"/>
  <c r="O72" i="41" l="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 s="1"/>
  <c r="N50" i="41"/>
  <c r="M50" i="41"/>
  <c r="M59" i="41" s="1"/>
  <c r="L50" i="41"/>
  <c r="L59" i="41" s="1"/>
  <c r="O49" i="41"/>
  <c r="N49" i="41"/>
  <c r="M49" i="41"/>
  <c r="L49" i="41"/>
  <c r="P44" i="41"/>
  <c r="P43" i="41"/>
  <c r="P42" i="41"/>
  <c r="K42" i="41"/>
  <c r="P41" i="41"/>
  <c r="J41" i="41"/>
  <c r="J41" i="42" s="1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 s="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 s="1"/>
  <c r="P19" i="41"/>
  <c r="I19" i="41"/>
  <c r="P18" i="41"/>
  <c r="P17" i="41"/>
  <c r="P16" i="41"/>
  <c r="F39" i="40"/>
  <c r="K28" i="40"/>
  <c r="F28" i="40"/>
  <c r="E7" i="40" s="1"/>
  <c r="K27" i="40"/>
  <c r="H27" i="40"/>
  <c r="G27" i="40"/>
  <c r="J27" i="40" s="1"/>
  <c r="K26" i="40"/>
  <c r="H26" i="40"/>
  <c r="G26" i="40"/>
  <c r="J26" i="40" s="1"/>
  <c r="K25" i="40"/>
  <c r="H25" i="40"/>
  <c r="G25" i="40"/>
  <c r="J25" i="40" s="1"/>
  <c r="K24" i="40"/>
  <c r="H24" i="40"/>
  <c r="G24" i="40"/>
  <c r="J24" i="40" s="1"/>
  <c r="K23" i="40"/>
  <c r="H23" i="40"/>
  <c r="G23" i="40"/>
  <c r="J23" i="40" s="1"/>
  <c r="K22" i="40"/>
  <c r="H22" i="40"/>
  <c r="G22" i="40"/>
  <c r="J22" i="40" s="1"/>
  <c r="K21" i="40"/>
  <c r="H21" i="40"/>
  <c r="G21" i="40"/>
  <c r="J21" i="40" s="1"/>
  <c r="K20" i="40"/>
  <c r="H20" i="40"/>
  <c r="G20" i="40"/>
  <c r="J20" i="40" s="1"/>
  <c r="G19" i="40"/>
  <c r="J19" i="40" s="1"/>
  <c r="G18" i="40"/>
  <c r="I74" i="39" l="1"/>
  <c r="I75" i="39"/>
  <c r="R75" i="39" s="1"/>
  <c r="S75" i="39" s="1"/>
  <c r="I69" i="39"/>
  <c r="I72" i="39"/>
  <c r="R72" i="39" s="1"/>
  <c r="S72" i="39" s="1"/>
  <c r="I19" i="39"/>
  <c r="AD19" i="39" s="1"/>
  <c r="I22" i="39"/>
  <c r="I68" i="39"/>
  <c r="I73" i="39"/>
  <c r="I18" i="39"/>
  <c r="I23" i="39"/>
  <c r="S68" i="39"/>
  <c r="U68" i="39" s="1"/>
  <c r="G28" i="40"/>
  <c r="K70" i="42"/>
  <c r="I70" i="42" s="1"/>
  <c r="K70" i="41"/>
  <c r="I70" i="41" s="1"/>
  <c r="J42" i="41"/>
  <c r="J42" i="42" s="1"/>
  <c r="K42" i="42"/>
  <c r="F16" i="40"/>
  <c r="G16" i="40" s="1"/>
  <c r="J69" i="42" s="1"/>
  <c r="E8" i="42"/>
  <c r="E8" i="41"/>
  <c r="K40" i="41" s="1"/>
  <c r="J18" i="40"/>
  <c r="P55" i="41"/>
  <c r="P72" i="41"/>
  <c r="O14" i="41"/>
  <c r="M14" i="41"/>
  <c r="P35" i="41"/>
  <c r="N59" i="41"/>
  <c r="P20" i="41"/>
  <c r="N14" i="41"/>
  <c r="P27" i="41"/>
  <c r="L46" i="41"/>
  <c r="L62" i="41" s="1"/>
  <c r="L75" i="41" s="1"/>
  <c r="P32" i="41"/>
  <c r="M46" i="41"/>
  <c r="M62" i="41" s="1"/>
  <c r="M75" i="41" s="1"/>
  <c r="P50" i="41"/>
  <c r="N46" i="41"/>
  <c r="O46" i="41"/>
  <c r="O62" i="41" s="1"/>
  <c r="O75" i="41" s="1"/>
  <c r="I45" i="41"/>
  <c r="Q19" i="41"/>
  <c r="R23" i="39" l="1"/>
  <c r="S23" i="39" s="1"/>
  <c r="AD23" i="39"/>
  <c r="AC23" i="39" s="1"/>
  <c r="AD18" i="39"/>
  <c r="AC17" i="39"/>
  <c r="AC18" i="39"/>
  <c r="AC19" i="39"/>
  <c r="AD22" i="39"/>
  <c r="AC22" i="39" s="1"/>
  <c r="R54" i="39"/>
  <c r="S29" i="39"/>
  <c r="R100" i="39"/>
  <c r="S67" i="39"/>
  <c r="U67" i="39" s="1"/>
  <c r="K29" i="41"/>
  <c r="J29" i="41" s="1"/>
  <c r="Q29" i="41" s="1"/>
  <c r="K36" i="41"/>
  <c r="K36" i="42" s="1"/>
  <c r="K44" i="41"/>
  <c r="K44" i="42" s="1"/>
  <c r="J69" i="41"/>
  <c r="J72" i="41" s="1"/>
  <c r="K37" i="41"/>
  <c r="J37" i="41" s="1"/>
  <c r="J37" i="42" s="1"/>
  <c r="K19" i="41"/>
  <c r="J19" i="41" s="1"/>
  <c r="J28" i="40"/>
  <c r="K69" i="42" s="1"/>
  <c r="K72" i="42" s="1"/>
  <c r="K73" i="42" s="1"/>
  <c r="K43" i="41"/>
  <c r="J43" i="41" s="1"/>
  <c r="J43" i="42" s="1"/>
  <c r="K39" i="41"/>
  <c r="K39" i="42" s="1"/>
  <c r="I51" i="41"/>
  <c r="I51" i="42" s="1"/>
  <c r="H51" i="42"/>
  <c r="K29" i="42"/>
  <c r="J29" i="42" s="1"/>
  <c r="Q29" i="42" s="1"/>
  <c r="V29" i="42" s="1"/>
  <c r="K19" i="42"/>
  <c r="J19" i="42" s="1"/>
  <c r="K38" i="41"/>
  <c r="J38" i="41" s="1"/>
  <c r="J38" i="42" s="1"/>
  <c r="J72" i="42"/>
  <c r="J40" i="41"/>
  <c r="J40" i="42" s="1"/>
  <c r="K40" i="42"/>
  <c r="N62" i="41"/>
  <c r="N75" i="41" s="1"/>
  <c r="P46" i="41"/>
  <c r="P59" i="41"/>
  <c r="P14" i="41"/>
  <c r="S16" i="41" l="1"/>
  <c r="G16" i="41"/>
  <c r="P62" i="41"/>
  <c r="P75" i="41" s="1"/>
  <c r="R101" i="39"/>
  <c r="S100" i="39"/>
  <c r="J36" i="41"/>
  <c r="S54" i="39"/>
  <c r="J44" i="41"/>
  <c r="J44" i="42" s="1"/>
  <c r="K37" i="42"/>
  <c r="K43" i="42"/>
  <c r="J39" i="41"/>
  <c r="J39" i="42" s="1"/>
  <c r="K35" i="41"/>
  <c r="K45" i="41" s="1"/>
  <c r="K51" i="41"/>
  <c r="K51" i="42" s="1"/>
  <c r="K69" i="41"/>
  <c r="I69" i="41" s="1"/>
  <c r="I72" i="41" s="1"/>
  <c r="I69" i="42"/>
  <c r="I72" i="42" s="1"/>
  <c r="K38" i="42"/>
  <c r="J36" i="42"/>
  <c r="S101" i="39" l="1"/>
  <c r="K35" i="42"/>
  <c r="K45" i="42" s="1"/>
  <c r="K72" i="41"/>
  <c r="J51" i="41"/>
  <c r="J51" i="42" s="1"/>
  <c r="J35" i="42"/>
  <c r="J45" i="42" s="1"/>
  <c r="J35" i="41"/>
  <c r="J45" i="41" s="1"/>
  <c r="K73" i="41"/>
  <c r="Q35" i="41"/>
  <c r="Q35" i="42" l="1"/>
  <c r="AD95" i="39"/>
  <c r="T95" i="39"/>
  <c r="AD94" i="39"/>
  <c r="T94" i="39"/>
  <c r="AD93" i="39"/>
  <c r="T93" i="39"/>
  <c r="AD92" i="39"/>
  <c r="T92" i="39"/>
  <c r="AD91" i="39"/>
  <c r="T91" i="39"/>
  <c r="AD90" i="39"/>
  <c r="T90" i="39"/>
  <c r="AD89" i="39"/>
  <c r="T89" i="39"/>
  <c r="AD88" i="39"/>
  <c r="T88" i="39"/>
  <c r="AD87" i="39"/>
  <c r="T87" i="39"/>
  <c r="AD86" i="39"/>
  <c r="T86" i="39"/>
  <c r="AD85" i="39"/>
  <c r="T85" i="39"/>
  <c r="AD84" i="39"/>
  <c r="T84" i="39"/>
  <c r="AD83" i="39"/>
  <c r="T83" i="39"/>
  <c r="T57" i="39"/>
  <c r="AD57" i="39"/>
  <c r="AC57" i="39" s="1"/>
  <c r="T58" i="39"/>
  <c r="Y58" i="39" s="1"/>
  <c r="AD58" i="39"/>
  <c r="AC58" i="39" s="1"/>
  <c r="T63" i="39"/>
  <c r="Y63" i="39" s="1"/>
  <c r="T64" i="39"/>
  <c r="Y64" i="39" s="1"/>
  <c r="T65" i="39"/>
  <c r="Y65" i="39" s="1"/>
  <c r="T66" i="39"/>
  <c r="AD66" i="39"/>
  <c r="AC66" i="39" s="1"/>
  <c r="T67" i="39"/>
  <c r="Y67" i="39" s="1"/>
  <c r="AD67" i="39"/>
  <c r="AC67" i="39" s="1"/>
  <c r="T68" i="39"/>
  <c r="Y68" i="39" s="1"/>
  <c r="AD68" i="39"/>
  <c r="AC68" i="39" s="1"/>
  <c r="T69" i="39"/>
  <c r="Y69" i="39" s="1"/>
  <c r="AD69" i="39"/>
  <c r="AC69" i="39" s="1"/>
  <c r="T70" i="39"/>
  <c r="AD70" i="39"/>
  <c r="AC70" i="39" s="1"/>
  <c r="T71" i="39"/>
  <c r="AD71" i="39"/>
  <c r="AC71" i="39" s="1"/>
  <c r="T72" i="39"/>
  <c r="AD72" i="39"/>
  <c r="AC72" i="39" s="1"/>
  <c r="AD40" i="39"/>
  <c r="T40" i="39"/>
  <c r="AD39" i="39"/>
  <c r="T39" i="39"/>
  <c r="AD43" i="39"/>
  <c r="T43" i="39"/>
  <c r="AD42" i="39"/>
  <c r="T42" i="39"/>
  <c r="AD41" i="39"/>
  <c r="T41" i="39"/>
  <c r="AD38" i="39"/>
  <c r="T38" i="39"/>
  <c r="AD37" i="39"/>
  <c r="T37" i="39"/>
  <c r="T18" i="39"/>
  <c r="T19" i="39"/>
  <c r="AD36" i="39"/>
  <c r="AD44" i="39"/>
  <c r="AD45" i="39"/>
  <c r="AD46" i="39"/>
  <c r="AD47" i="39"/>
  <c r="T36" i="39"/>
  <c r="T44" i="39"/>
  <c r="T45" i="39"/>
  <c r="T46" i="39"/>
  <c r="T47" i="39"/>
  <c r="T48" i="39"/>
  <c r="T49" i="39"/>
  <c r="AD12" i="39"/>
  <c r="AC12" i="39" s="1"/>
  <c r="AD27" i="39"/>
  <c r="AD28" i="39"/>
  <c r="AD29" i="39"/>
  <c r="T29" i="39"/>
  <c r="T28" i="39"/>
  <c r="T27" i="39"/>
  <c r="T23" i="39"/>
  <c r="T22" i="39"/>
  <c r="T21" i="39"/>
  <c r="T20" i="39"/>
  <c r="T17" i="39"/>
  <c r="T12" i="39"/>
  <c r="K4" i="39" l="1"/>
  <c r="K3" i="39"/>
  <c r="Y29" i="39"/>
  <c r="U100" i="39"/>
  <c r="Y57" i="39"/>
  <c r="Y22" i="39"/>
  <c r="Y19" i="39"/>
  <c r="Y12" i="39"/>
  <c r="Y20" i="39"/>
  <c r="Y23" i="39"/>
  <c r="G23" i="41" s="1"/>
  <c r="Y27" i="39"/>
  <c r="Y28" i="39"/>
  <c r="G22" i="41" l="1"/>
  <c r="H22" i="41" s="1"/>
  <c r="S22" i="41" s="1"/>
  <c r="G17" i="42"/>
  <c r="I17" i="42" s="1"/>
  <c r="V54" i="39"/>
  <c r="V7" i="39" s="1"/>
  <c r="G25" i="41"/>
  <c r="H25" i="41" s="1"/>
  <c r="W54" i="39"/>
  <c r="Y21" i="39"/>
  <c r="H23" i="41"/>
  <c r="G23" i="42"/>
  <c r="H23" i="42" s="1"/>
  <c r="I23" i="42" s="1"/>
  <c r="K23" i="42" s="1"/>
  <c r="J23" i="42" s="1"/>
  <c r="Q23" i="42" s="1"/>
  <c r="V23" i="42" s="1"/>
  <c r="I22" i="41" l="1"/>
  <c r="K22" i="41" s="1"/>
  <c r="J22" i="41" s="1"/>
  <c r="I23" i="41"/>
  <c r="S23" i="41"/>
  <c r="I25" i="41"/>
  <c r="S25" i="41"/>
  <c r="I17" i="41"/>
  <c r="G22" i="42"/>
  <c r="H22" i="42" s="1"/>
  <c r="I22" i="42" s="1"/>
  <c r="K22" i="42" s="1"/>
  <c r="G25" i="42"/>
  <c r="H25" i="42" s="1"/>
  <c r="I25" i="42" s="1"/>
  <c r="T25" i="42" s="1"/>
  <c r="U17" i="42"/>
  <c r="R17" i="42"/>
  <c r="S17" i="42"/>
  <c r="T17" i="42"/>
  <c r="K17" i="42"/>
  <c r="J17" i="42" s="1"/>
  <c r="Q17" i="42" s="1"/>
  <c r="V17" i="42" s="1"/>
  <c r="T23" i="42"/>
  <c r="U23" i="42"/>
  <c r="S23" i="42"/>
  <c r="R23" i="42"/>
  <c r="K17" i="41" l="1"/>
  <c r="J17" i="41" s="1"/>
  <c r="Q17" i="41" s="1"/>
  <c r="K25" i="41"/>
  <c r="J25" i="41" s="1"/>
  <c r="Q25" i="41" s="1"/>
  <c r="K23" i="41"/>
  <c r="J23" i="41" s="1"/>
  <c r="Q23" i="41" s="1"/>
  <c r="S22" i="42"/>
  <c r="T22" i="42"/>
  <c r="Q22" i="42"/>
  <c r="V22" i="42" s="1"/>
  <c r="J22" i="42"/>
  <c r="U22" i="42"/>
  <c r="R22" i="42"/>
  <c r="U25" i="42"/>
  <c r="K25" i="42"/>
  <c r="J25" i="42" s="1"/>
  <c r="Q25" i="42" s="1"/>
  <c r="V25" i="42" s="1"/>
  <c r="R25" i="42"/>
  <c r="S25" i="42"/>
  <c r="AD82" i="39"/>
  <c r="AD96" i="39"/>
  <c r="AD97" i="39"/>
  <c r="T99" i="39" l="1"/>
  <c r="T98" i="39"/>
  <c r="T97" i="39"/>
  <c r="T96" i="39"/>
  <c r="T79" i="39"/>
  <c r="T78" i="39"/>
  <c r="T77" i="39"/>
  <c r="T75" i="39"/>
  <c r="T74" i="39"/>
  <c r="AD79" i="39"/>
  <c r="AD78" i="39"/>
  <c r="AD77" i="39"/>
  <c r="AD75" i="39"/>
  <c r="AC75" i="39" s="1"/>
  <c r="AD74" i="39"/>
  <c r="AC74" i="39" s="1"/>
  <c r="AD73" i="39"/>
  <c r="AD99" i="39"/>
  <c r="AD98" i="39"/>
  <c r="AD81" i="39"/>
  <c r="AD80" i="39"/>
  <c r="R7" i="39"/>
  <c r="AD53" i="39"/>
  <c r="T53" i="39"/>
  <c r="AD52" i="39"/>
  <c r="T52" i="39"/>
  <c r="AD51" i="39"/>
  <c r="T51" i="39"/>
  <c r="AD50" i="39"/>
  <c r="T50" i="39"/>
  <c r="AD49" i="39"/>
  <c r="AD48" i="39"/>
  <c r="AD33" i="39"/>
  <c r="T33" i="39"/>
  <c r="AD32" i="39"/>
  <c r="T32" i="39"/>
  <c r="AD31" i="39"/>
  <c r="T31" i="39"/>
  <c r="AD30" i="39"/>
  <c r="T30" i="39"/>
  <c r="AD11" i="39"/>
  <c r="AC11" i="39" s="1"/>
  <c r="T11" i="39"/>
  <c r="AD10" i="39"/>
  <c r="AC10" i="39" s="1"/>
  <c r="AC73" i="39" l="1"/>
  <c r="L4" i="39" s="1"/>
  <c r="Y11" i="39"/>
  <c r="G24" i="41"/>
  <c r="H24" i="41" s="1"/>
  <c r="S24" i="41" s="1"/>
  <c r="T82" i="39"/>
  <c r="T81" i="39"/>
  <c r="T80" i="39"/>
  <c r="AD55" i="39"/>
  <c r="AC55" i="39" s="1"/>
  <c r="L3" i="39" l="1"/>
  <c r="J4" i="39"/>
  <c r="J3" i="39"/>
  <c r="I24" i="41"/>
  <c r="G24" i="42"/>
  <c r="T35" i="39"/>
  <c r="T73" i="39"/>
  <c r="AD35" i="39"/>
  <c r="AD34" i="39"/>
  <c r="AD56" i="39"/>
  <c r="AD8" i="39"/>
  <c r="AC8" i="39" s="1"/>
  <c r="AD9" i="39"/>
  <c r="AC9" i="39" s="1"/>
  <c r="AD100" i="39" l="1"/>
  <c r="AC56" i="39"/>
  <c r="AC100" i="39" s="1"/>
  <c r="H100" i="39" s="1"/>
  <c r="I4" i="39"/>
  <c r="D18" i="40" s="1"/>
  <c r="D19" i="40" s="1"/>
  <c r="I3" i="39"/>
  <c r="AD54" i="39"/>
  <c r="H24" i="42"/>
  <c r="I24" i="42" s="1"/>
  <c r="J24" i="41"/>
  <c r="Q24" i="41" s="1"/>
  <c r="Q7" i="39"/>
  <c r="T34" i="39"/>
  <c r="H19" i="40" l="1"/>
  <c r="K19" i="40"/>
  <c r="H18" i="40"/>
  <c r="H28" i="40"/>
  <c r="K18" i="40"/>
  <c r="H4" i="39"/>
  <c r="H3" i="39"/>
  <c r="AC54" i="39"/>
  <c r="H54" i="39" s="1"/>
  <c r="H101" i="39" s="1"/>
  <c r="S7" i="39"/>
  <c r="Q24" i="42"/>
  <c r="S24" i="42"/>
  <c r="T24" i="42"/>
  <c r="J24" i="42"/>
  <c r="R24" i="42"/>
  <c r="U24" i="42"/>
  <c r="T56" i="39"/>
  <c r="Y56" i="39" s="1"/>
  <c r="T9" i="39"/>
  <c r="T55" i="39"/>
  <c r="W100" i="39" l="1"/>
  <c r="W7" i="39" s="1"/>
  <c r="Y55" i="39"/>
  <c r="T54" i="39"/>
  <c r="Y9" i="39"/>
  <c r="Y54" i="39" s="1"/>
  <c r="T100" i="39"/>
  <c r="V24" i="42"/>
  <c r="Y100" i="39" l="1"/>
  <c r="Y7" i="39" s="1"/>
  <c r="G26" i="41"/>
  <c r="I18" i="41"/>
  <c r="G18" i="42"/>
  <c r="I18" i="42" s="1"/>
  <c r="T101" i="39"/>
  <c r="U54" i="39"/>
  <c r="U7" i="39" s="1"/>
  <c r="T7" i="39"/>
  <c r="I52" i="41"/>
  <c r="I52" i="42" s="1"/>
  <c r="H52" i="42"/>
  <c r="I53" i="41"/>
  <c r="I53" i="42" s="1"/>
  <c r="H53" i="42"/>
  <c r="I57" i="41"/>
  <c r="I57" i="42" s="1"/>
  <c r="H57" i="42"/>
  <c r="I54" i="41"/>
  <c r="H54" i="42"/>
  <c r="I58" i="41"/>
  <c r="I58" i="42" s="1"/>
  <c r="H58" i="42"/>
  <c r="I56" i="41"/>
  <c r="I56" i="42" s="1"/>
  <c r="H56" i="42"/>
  <c r="K18" i="41" l="1"/>
  <c r="J18" i="41" s="1"/>
  <c r="Q18" i="41" s="1"/>
  <c r="G27" i="41"/>
  <c r="H26" i="41"/>
  <c r="G26" i="42"/>
  <c r="U18" i="42"/>
  <c r="T18" i="42"/>
  <c r="R18" i="42"/>
  <c r="S18" i="42"/>
  <c r="K18" i="42"/>
  <c r="J18" i="42" s="1"/>
  <c r="Q18" i="42" s="1"/>
  <c r="V18" i="42" s="1"/>
  <c r="I16" i="41"/>
  <c r="G20" i="41"/>
  <c r="G16" i="42"/>
  <c r="K53" i="41"/>
  <c r="J53" i="41" s="1"/>
  <c r="J53" i="42" s="1"/>
  <c r="K58" i="41"/>
  <c r="J58" i="41" s="1"/>
  <c r="J58" i="42" s="1"/>
  <c r="K57" i="41"/>
  <c r="J57" i="41" s="1"/>
  <c r="J57" i="42" s="1"/>
  <c r="K56" i="41"/>
  <c r="K56" i="42" s="1"/>
  <c r="K54" i="41"/>
  <c r="I54" i="42"/>
  <c r="I50" i="42" s="1"/>
  <c r="I50" i="41"/>
  <c r="K52" i="41"/>
  <c r="I55" i="41"/>
  <c r="I55" i="42"/>
  <c r="I26" i="41" l="1"/>
  <c r="K26" i="41" s="1"/>
  <c r="K27" i="41" s="1"/>
  <c r="Q27" i="41" s="1"/>
  <c r="S26" i="41"/>
  <c r="H26" i="42"/>
  <c r="I26" i="42" s="1"/>
  <c r="G27" i="42"/>
  <c r="I16" i="42"/>
  <c r="G20" i="42"/>
  <c r="I33" i="41"/>
  <c r="G14" i="41"/>
  <c r="K16" i="41"/>
  <c r="K20" i="41" s="1"/>
  <c r="I20" i="41"/>
  <c r="K53" i="42"/>
  <c r="J56" i="41"/>
  <c r="J56" i="42" s="1"/>
  <c r="J55" i="42" s="1"/>
  <c r="K57" i="42"/>
  <c r="K58" i="42"/>
  <c r="K55" i="41"/>
  <c r="I59" i="42"/>
  <c r="I60" i="42" s="1"/>
  <c r="I59" i="41"/>
  <c r="J52" i="41"/>
  <c r="K52" i="42"/>
  <c r="K50" i="41"/>
  <c r="J54" i="41"/>
  <c r="J54" i="42" s="1"/>
  <c r="K54" i="42"/>
  <c r="I27" i="41" l="1"/>
  <c r="H27" i="41" s="1"/>
  <c r="J26" i="41"/>
  <c r="J27" i="41" s="1"/>
  <c r="K26" i="42"/>
  <c r="K27" i="42" s="1"/>
  <c r="Q27" i="42" s="1"/>
  <c r="S26" i="42"/>
  <c r="U26" i="42"/>
  <c r="T26" i="42"/>
  <c r="R26" i="42"/>
  <c r="I27" i="42"/>
  <c r="H27" i="42" s="1"/>
  <c r="J16" i="41"/>
  <c r="Q20" i="41"/>
  <c r="G14" i="42"/>
  <c r="H20" i="41"/>
  <c r="K16" i="42"/>
  <c r="K20" i="42" s="1"/>
  <c r="I20" i="42"/>
  <c r="S16" i="42"/>
  <c r="U16" i="42"/>
  <c r="R16" i="42"/>
  <c r="T16" i="42"/>
  <c r="J55" i="41"/>
  <c r="I60" i="41"/>
  <c r="K55" i="42"/>
  <c r="K59" i="41"/>
  <c r="Q59" i="41" s="1"/>
  <c r="K50" i="42"/>
  <c r="J52" i="42"/>
  <c r="J50" i="42" s="1"/>
  <c r="J59" i="42" s="1"/>
  <c r="J50" i="41"/>
  <c r="J20" i="41" l="1"/>
  <c r="Q16" i="41"/>
  <c r="Q26" i="41"/>
  <c r="J26" i="42"/>
  <c r="J16" i="42"/>
  <c r="J20" i="42" s="1"/>
  <c r="H30" i="41"/>
  <c r="I30" i="41" s="1"/>
  <c r="H31" i="41"/>
  <c r="I31" i="41" s="1"/>
  <c r="H20" i="42"/>
  <c r="Q20" i="42"/>
  <c r="J59" i="41"/>
  <c r="J60" i="41" s="1"/>
  <c r="K60" i="41"/>
  <c r="K59" i="42"/>
  <c r="Q59" i="42" s="1"/>
  <c r="J60" i="42"/>
  <c r="Q26" i="42" l="1"/>
  <c r="V26" i="42" s="1"/>
  <c r="J27" i="42"/>
  <c r="K60" i="42"/>
  <c r="Q16" i="42"/>
  <c r="V16" i="42" s="1"/>
  <c r="H30" i="42"/>
  <c r="I30" i="42" s="1"/>
  <c r="H31" i="42"/>
  <c r="I31" i="42" s="1"/>
  <c r="K31" i="41"/>
  <c r="J31" i="41" s="1"/>
  <c r="Q31" i="41"/>
  <c r="Q30" i="41"/>
  <c r="I32" i="41"/>
  <c r="K30" i="41"/>
  <c r="J30" i="41" s="1"/>
  <c r="J33" i="41" l="1"/>
  <c r="K33" i="41" s="1"/>
  <c r="J32" i="41"/>
  <c r="J34" i="41" s="1"/>
  <c r="H32" i="41"/>
  <c r="I46" i="41"/>
  <c r="I34" i="41"/>
  <c r="H14" i="41"/>
  <c r="I14" i="41"/>
  <c r="K31" i="42"/>
  <c r="J31" i="42" s="1"/>
  <c r="S31" i="42"/>
  <c r="R31" i="42"/>
  <c r="Q31" i="42"/>
  <c r="V31" i="42" s="1"/>
  <c r="U31" i="42"/>
  <c r="T31" i="42"/>
  <c r="U30" i="42"/>
  <c r="R30" i="42"/>
  <c r="K30" i="42"/>
  <c r="I32" i="42"/>
  <c r="T30" i="42"/>
  <c r="S30" i="42"/>
  <c r="Q30" i="42"/>
  <c r="K32" i="41"/>
  <c r="J46" i="41" l="1"/>
  <c r="J47" i="41" s="1"/>
  <c r="J14" i="41"/>
  <c r="K32" i="42"/>
  <c r="Q32" i="42" s="1"/>
  <c r="J30" i="42"/>
  <c r="J32" i="42" s="1"/>
  <c r="J34" i="42" s="1"/>
  <c r="V30" i="42"/>
  <c r="K33" i="42" s="1"/>
  <c r="J33" i="42"/>
  <c r="I47" i="41"/>
  <c r="I62" i="41"/>
  <c r="H32" i="42"/>
  <c r="I46" i="42"/>
  <c r="I34" i="42"/>
  <c r="H14" i="42"/>
  <c r="I14" i="42"/>
  <c r="Q32" i="41"/>
  <c r="K46" i="41"/>
  <c r="K34" i="41"/>
  <c r="K14" i="41"/>
  <c r="Q14" i="41" s="1"/>
  <c r="J62" i="41" l="1"/>
  <c r="J64" i="41" s="1"/>
  <c r="K14" i="42"/>
  <c r="Q14" i="42" s="1"/>
  <c r="K46" i="42"/>
  <c r="S59" i="42" s="1"/>
  <c r="K34" i="42"/>
  <c r="J14" i="42"/>
  <c r="J46" i="42"/>
  <c r="J62" i="42" s="1"/>
  <c r="I47" i="42"/>
  <c r="I62" i="42"/>
  <c r="I64" i="41"/>
  <c r="I75" i="41"/>
  <c r="I63" i="41"/>
  <c r="I33" i="42"/>
  <c r="K47" i="41"/>
  <c r="Q46" i="41"/>
  <c r="K62" i="41"/>
  <c r="S59" i="41"/>
  <c r="Q46" i="42" l="1"/>
  <c r="K47" i="42"/>
  <c r="K62" i="42"/>
  <c r="K64" i="42" s="1"/>
  <c r="J47" i="42"/>
  <c r="J63" i="41"/>
  <c r="J75" i="41"/>
  <c r="E9" i="40" s="1"/>
  <c r="Q62" i="41"/>
  <c r="J9" i="40"/>
  <c r="K63" i="41"/>
  <c r="J10" i="40" s="1"/>
  <c r="K75" i="41"/>
  <c r="Q75" i="41" s="1"/>
  <c r="K64" i="41"/>
  <c r="I64" i="42"/>
  <c r="I63" i="42"/>
  <c r="I75" i="42"/>
  <c r="I76" i="41" s="1"/>
  <c r="J64" i="42"/>
  <c r="J75" i="42"/>
  <c r="J76" i="41" s="1"/>
  <c r="J63" i="42"/>
  <c r="E10" i="40" l="1"/>
  <c r="K63" i="42"/>
  <c r="K75" i="42"/>
  <c r="K76" i="41" s="1"/>
  <c r="Q76" i="41" s="1"/>
  <c r="Q62" i="42"/>
  <c r="Q75" i="4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tc={F6B9A5AA-6D95-4CE7-B11F-D77BFB673626}</author>
    <author>Utilisateur Windows</author>
    <author>Yoanna Meo</author>
  </authors>
  <commentList>
    <comment ref="I4" authorId="0" shapeId="0" xr:uid="{F6B9A5AA-6D95-4CE7-B11F-D77BFB673626}">
      <text>
        <t>[Threaded comment]
Your version of Excel allows you to read this threaded comment; however, any edits to it will get removed if the file is opened in a newer version of Excel. Learn more: https://go.microsoft.com/fwlink/?linkid=870924
Comment:
    moyenne entre 2 parcours audio et video</t>
      </text>
    </comment>
    <comment ref="U6" authorId="1" shapeId="0" xr:uid="{00000000-0006-0000-00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  <comment ref="H18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on peut dédoubler si pas le même tps pr les FI =&gt; 100</t>
        </r>
      </text>
    </comment>
    <comment ref="D57" authorId="2" shapeId="0" xr:uid="{00000000-0006-0000-0000-000004000000}">
      <text>
        <r>
          <rPr>
            <b/>
            <sz val="9"/>
            <color indexed="81"/>
            <rFont val="Tahoma"/>
            <family val="2"/>
          </rPr>
          <t>Yoanna Meo:</t>
        </r>
        <r>
          <rPr>
            <sz val="9"/>
            <color indexed="81"/>
            <rFont val="Tahoma"/>
            <family val="2"/>
          </rPr>
          <t xml:space="preserve">
devient uniquement pour FI/FC </t>
        </r>
      </text>
    </comment>
    <comment ref="H68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Fi =&gt; 100h</t>
        </r>
      </text>
    </comment>
    <comment ref="H69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Fi =&gt; 100h</t>
        </r>
      </text>
    </comment>
    <comment ref="H72" authorId="1" shapeId="0" xr:uid="{00000000-0006-0000-00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Fi=&gt;100h</t>
        </r>
      </text>
    </comment>
    <comment ref="H73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Fi=&gt;100h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  <author>Marielle Pierron</author>
    <author>Yoanna Meo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I38" authorId="1" shapeId="0" xr:uid="{00000000-0006-0000-0200-000003000000}">
      <text>
        <r>
          <rPr>
            <b/>
            <sz val="9"/>
            <color indexed="81"/>
            <rFont val="Tahoma"/>
            <family val="2"/>
          </rPr>
          <t>Marielle Pierron:</t>
        </r>
        <r>
          <rPr>
            <sz val="9"/>
            <color indexed="81"/>
            <rFont val="Tahoma"/>
            <family val="2"/>
          </rPr>
          <t xml:space="preserve">
Voyage d'étude 
</t>
        </r>
      </text>
    </comment>
    <comment ref="I39" authorId="2" shapeId="0" xr:uid="{00000000-0006-0000-0200-000004000000}">
      <text>
        <r>
          <rPr>
            <b/>
            <sz val="9"/>
            <color indexed="81"/>
            <rFont val="Tahoma"/>
            <family val="2"/>
          </rPr>
          <t>Yoanna Meo:</t>
        </r>
        <r>
          <rPr>
            <sz val="9"/>
            <color indexed="81"/>
            <rFont val="Tahoma"/>
            <family val="2"/>
          </rPr>
          <t xml:space="preserve">
relation presse, adhésion asso, nom domaine</t>
        </r>
      </text>
    </comment>
    <comment ref="I40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Marielle Pierron:</t>
        </r>
        <r>
          <rPr>
            <sz val="9"/>
            <color indexed="81"/>
            <rFont val="Tahoma"/>
            <family val="2"/>
          </rPr>
          <t xml:space="preserve">
frais de déplacement intervenant, evenements de la formation </t>
        </r>
      </text>
    </comment>
    <comment ref="I44" authorId="2" shapeId="0" xr:uid="{00000000-0006-0000-0200-000006000000}">
      <text>
        <r>
          <rPr>
            <b/>
            <sz val="9"/>
            <color indexed="81"/>
            <rFont val="Tahoma"/>
            <family val="2"/>
          </rPr>
          <t>Yoanna Meo:</t>
        </r>
        <r>
          <rPr>
            <sz val="9"/>
            <color indexed="81"/>
            <rFont val="Tahoma"/>
            <family val="2"/>
          </rPr>
          <t xml:space="preserve">
mortissement investissement matériel</t>
        </r>
      </text>
    </comment>
    <comment ref="D51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<sst xmlns="http://schemas.openxmlformats.org/spreadsheetml/2006/main" count="645" uniqueCount="309">
  <si>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</si>
  <si>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</si>
  <si>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</si>
  <si>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</si>
  <si>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</si>
  <si>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</si>
  <si>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</si>
  <si>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</si>
  <si>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</si>
  <si>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</si>
  <si>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</si>
  <si>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</si>
  <si>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</si>
  <si>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</si>
  <si>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</si>
  <si>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</si>
  <si>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</si>
  <si>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</si>
  <si>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</si>
  <si>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</si>
  <si>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</si>
  <si>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</si>
  <si>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</si>
  <si>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</si>
  <si>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</si>
  <si>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</si>
  <si>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</si>
  <si>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</si>
  <si>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</si>
  <si>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</si>
  <si>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</si>
  <si>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</si>
  <si>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</si>
  <si>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Approches contemporaines des SIC</t>
  </si>
  <si>
    <t>MIXTE</t>
  </si>
  <si>
    <t>Obligatoire</t>
  </si>
  <si>
    <t>CM</t>
  </si>
  <si>
    <t>Mut+ext</t>
  </si>
  <si>
    <t>M2 Information-Communication, parcours MUSE</t>
  </si>
  <si>
    <t>EP1.1B</t>
  </si>
  <si>
    <t>Cultures professionnelles</t>
  </si>
  <si>
    <t>EP1.1C</t>
  </si>
  <si>
    <t>Préparation mémoire</t>
  </si>
  <si>
    <t>MEMSUIV</t>
  </si>
  <si>
    <t>EP1.2A</t>
  </si>
  <si>
    <t>Atelier audio</t>
  </si>
  <si>
    <t>Option</t>
  </si>
  <si>
    <t>TP</t>
  </si>
  <si>
    <t>PROJSUIV</t>
  </si>
  <si>
    <t>TD</t>
  </si>
  <si>
    <t>Atelier vidéo</t>
  </si>
  <si>
    <t>EP1.2B</t>
  </si>
  <si>
    <t>Production éditoriale innovante individuelle</t>
  </si>
  <si>
    <t>PROJTD</t>
  </si>
  <si>
    <t>Production éditoriale innovante individuelle (ALT)</t>
  </si>
  <si>
    <t>ALT</t>
  </si>
  <si>
    <t>Production éditoriale innovante individuelle (FI)</t>
  </si>
  <si>
    <t>FI/FC</t>
  </si>
  <si>
    <t>EP1.3A</t>
  </si>
  <si>
    <t>Accompagnement alternance &amp; projet pro.</t>
  </si>
  <si>
    <t>EP1.3B</t>
  </si>
  <si>
    <t>Masterclass</t>
  </si>
  <si>
    <t>EP1.3C</t>
  </si>
  <si>
    <t>Stage</t>
  </si>
  <si>
    <t>STSUIV</t>
  </si>
  <si>
    <t>EP1.3D</t>
  </si>
  <si>
    <t>Alternance</t>
  </si>
  <si>
    <t>ALTSUIV</t>
  </si>
  <si>
    <t>Pespectives critiques et retours d'expériences</t>
  </si>
  <si>
    <t>Mut</t>
  </si>
  <si>
    <t>Sciences Po Lyon</t>
  </si>
  <si>
    <t>Semestre 2</t>
  </si>
  <si>
    <t>EP2.1A</t>
  </si>
  <si>
    <t>Atelier publication</t>
  </si>
  <si>
    <t>EP2.1B</t>
  </si>
  <si>
    <t>Débats, émissions et média-école</t>
  </si>
  <si>
    <t>EP2.1C</t>
  </si>
  <si>
    <t>EP2.1D</t>
  </si>
  <si>
    <t>Journalisme web</t>
  </si>
  <si>
    <t>SPTD</t>
  </si>
  <si>
    <t>SPSUIV</t>
  </si>
  <si>
    <t>EP2.1E</t>
  </si>
  <si>
    <t>Data journalism</t>
  </si>
  <si>
    <t>EP2.1F</t>
  </si>
  <si>
    <t>Production éditoriale innovante collective</t>
  </si>
  <si>
    <t>Production éditoriale innovante collective (ALT)</t>
  </si>
  <si>
    <t>Production éditoriale innovante collective (FI)</t>
  </si>
  <si>
    <t>EP2.2A</t>
  </si>
  <si>
    <t>Perspectives critiques et retours d'expériences</t>
  </si>
  <si>
    <t>EP2.2B</t>
  </si>
  <si>
    <t>Mémoire (ALT)</t>
  </si>
  <si>
    <t>Mémoire (FI)</t>
  </si>
  <si>
    <t>EP2.2C</t>
  </si>
  <si>
    <t>EP2.2D</t>
  </si>
  <si>
    <t>EP2.1G</t>
  </si>
  <si>
    <t>Anglais du journalisme</t>
  </si>
  <si>
    <t>RECETTES ET SIMULATIONS</t>
  </si>
  <si>
    <t>Etablissement</t>
  </si>
  <si>
    <t>Université Lumière Lyon 2</t>
  </si>
  <si>
    <t>Type de formation</t>
  </si>
  <si>
    <t>Master</t>
  </si>
  <si>
    <t>RNCP / RS</t>
  </si>
  <si>
    <t>En cours</t>
  </si>
  <si>
    <t>Nom de la formation</t>
  </si>
  <si>
    <t>Nouvelles Pratiques Journalistiques (NPJ)</t>
  </si>
  <si>
    <t xml:space="preserve">Nombre d'inscrits total
</t>
  </si>
  <si>
    <t>Composante</t>
  </si>
  <si>
    <t>ICOM - Institut de Communication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</si>
  <si>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</si>
  <si>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</si>
  <si>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</si>
  <si>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</si>
  <si>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</si>
  <si>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</si>
  <si>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</si>
  <si>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</si>
  <si>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</si>
  <si>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</si>
  <si>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</si>
  <si>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</si>
  <si>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</si>
  <si>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</si>
  <si>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</si>
  <si>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</si>
  <si>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</si>
  <si>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</si>
  <si>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</si>
  <si>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</si>
  <si>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</si>
  <si>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</si>
  <si>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</si>
  <si>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</si>
  <si>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TARIF 2</t>
  </si>
  <si>
    <t>TARIF 3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</si>
  <si>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</si>
  <si>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</si>
  <si>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</si>
  <si>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</si>
  <si>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</si>
  <si>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</si>
  <si>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</si>
  <si>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</si>
  <si>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</si>
  <si>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</si>
  <si>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</si>
  <si>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</si>
  <si>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</si>
  <si>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</si>
  <si>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</si>
  <si>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</si>
  <si>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</si>
  <si>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</si>
  <si>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</si>
  <si>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</si>
  <si>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</si>
  <si>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</si>
  <si>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</si>
  <si>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</si>
  <si>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</si>
  <si>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</si>
  <si>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</si>
  <si>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</si>
  <si>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</si>
  <si>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</si>
  <si>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</si>
  <si>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</si>
  <si>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</si>
  <si>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</si>
  <si>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</si>
  <si>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</si>
  <si>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</si>
  <si>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</si>
  <si>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</si>
  <si>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</si>
  <si>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</si>
  <si>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</si>
  <si>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</si>
  <si>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</si>
  <si>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</si>
  <si>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</si>
  <si>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</si>
  <si>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</si>
  <si>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</si>
  <si>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</si>
  <si>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</si>
  <si>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</si>
  <si>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</si>
  <si>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</si>
  <si>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</si>
  <si>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</si>
  <si>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</si>
  <si>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</si>
  <si>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</si>
  <si>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</si>
  <si>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</si>
  <si>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</si>
  <si>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</si>
  <si>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</si>
  <si>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</si>
  <si>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</si>
  <si>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</si>
  <si>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</si>
  <si>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</si>
  <si>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</si>
  <si>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</si>
  <si>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</si>
  <si>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</si>
  <si>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</si>
  <si>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</si>
  <si>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</si>
  <si>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</si>
  <si>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</si>
  <si>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</si>
  <si>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</si>
  <si>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</si>
  <si>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</si>
  <si>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</si>
  <si>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</si>
  <si>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</si>
  <si>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</si>
  <si>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</si>
  <si>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</si>
  <si>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</si>
  <si>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</si>
  <si>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</si>
  <si>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</si>
  <si>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</si>
  <si>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</si>
  <si>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</si>
  <si>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</si>
  <si>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</si>
  <si>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</si>
  <si>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</si>
  <si>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</si>
  <si>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</si>
  <si>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</si>
  <si>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</si>
  <si>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</si>
  <si>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</si>
  <si>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</si>
  <si>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</si>
  <si>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</si>
  <si>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</si>
  <si>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</si>
  <si>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</si>
  <si>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</si>
  <si>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</si>
  <si>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</si>
  <si>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</si>
  <si>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</si>
  <si>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</si>
  <si>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</si>
  <si>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</si>
  <si>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</si>
  <si>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</si>
  <si>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</si>
  <si>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</si>
  <si>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</si>
  <si>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</si>
  <si>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</si>
  <si>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</si>
  <si>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</si>
  <si>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</si>
  <si>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ASSP - Anthropologie, Sociologie, Scienes Poliques</t>
  </si>
  <si>
    <t>Travaux dirigés</t>
  </si>
  <si>
    <t>CIEF - Centre International d'Etudes Françaises</t>
  </si>
  <si>
    <t>Travaux pratiques</t>
  </si>
  <si>
    <t>FJVD - Faculté de Droit Julie-Victoire Daubié</t>
  </si>
  <si>
    <t>Professionnalisation / recherche</t>
  </si>
  <si>
    <t>Stage (suivi)</t>
  </si>
  <si>
    <t>Stage (TD)</t>
  </si>
  <si>
    <t>STTD</t>
  </si>
  <si>
    <t>IETL - Institut d'Etudes du Travail de Lyon</t>
  </si>
  <si>
    <t>Stage (CM)</t>
  </si>
  <si>
    <t>STCM</t>
  </si>
  <si>
    <t>ISPEF - Institut des Sciences et Pratiques d'Education de la Formation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</si>
  <si>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</si>
  <si>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</si>
  <si>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</si>
  <si>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</si>
  <si>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</si>
  <si>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</si>
  <si>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</si>
  <si>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</si>
  <si>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</si>
  <si>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</si>
  <si>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</si>
  <si>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</si>
  <si>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</si>
  <si>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</si>
  <si>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</si>
  <si>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</si>
  <si>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</si>
  <si>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</si>
  <si>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</si>
  <si>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</si>
  <si>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</si>
  <si>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</si>
  <si>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</si>
  <si>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Sortie pédagogique (TD)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</si>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</sst>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_-* #,##0.00\ &quot;BF&quot;_-;\-* #,##0.00\ &quot;BF&quot;_-;_-* &quot;-&quot;??\ &quot;BF&quot;_-;_-@_-"/>
    <numFmt numFmtId="166" formatCode="#,##0\ &quot;F&quot;"/>
    <numFmt numFmtId="167" formatCode="_-* #,##0.00\ _B_F_-;\-* #,##0.00\ _B_F_-;_-* &quot;-&quot;??\ _B_F_-;_-@_-"/>
    <numFmt numFmtId="168" formatCode="#,##0\ &quot;€&quot;"/>
    <numFmt numFmtId="169" formatCode="#,##0_ ;\-#,##0\ "/>
    <numFmt numFmtId="170" formatCode="_-* #,##0\ [$€]_-;\-* #,##0\ [$€]_-;_-* &quot;-&quot;??\ [$€]_-;_-@_-"/>
    <numFmt numFmtId="171" formatCode="_-* #,##0\ [$€-803]_-;\-* #,##0\ [$€-803]_-;_-* &quot;-&quot;??\ [$€-803]_-;_-@_-"/>
    <numFmt numFmtId="172" formatCode="#,##0.00_ ;\-#,##0.00\ "/>
    <numFmt numFmtId="173" formatCode="_-* #,##0\ &quot;€&quot;_-;\-* #,##0\ &quot;€&quot;_-;_-* &quot;-&quot;??\ &quot;€&quot;_-;_-@_-"/>
    <numFmt numFmtId="174" formatCode="#,##0.00\ &quot;€&quot;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1"/>
      <color rgb="FF7F7F7F"/>
      <name val="Trebuchet MS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2"/>
      <color rgb="FF7030A0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AF0F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D9"/>
        <bgColor indexed="64"/>
      </patternFill>
    </fill>
  </fills>
  <borders count="7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auto="1"/>
      </bottom>
      <diagonal/>
    </border>
  </borders>
  <cellStyleXfs count="19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1" fillId="0" borderId="0"/>
  </cellStyleXfs>
  <cellXfs count="573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4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4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4" fontId="14" fillId="7" borderId="10" xfId="10" applyNumberFormat="1" applyFont="1" applyFill="1" applyBorder="1" applyAlignment="1">
      <alignment horizontal="center" vertical="center"/>
    </xf>
    <xf numFmtId="164" fontId="17" fillId="7" borderId="9" xfId="10" applyNumberFormat="1" applyFont="1" applyFill="1" applyBorder="1" applyAlignment="1">
      <alignment horizontal="center" vertical="center"/>
    </xf>
    <xf numFmtId="164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4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4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6" fontId="7" fillId="2" borderId="0" xfId="14" applyNumberFormat="1" applyFont="1" applyFill="1" applyAlignment="1" applyProtection="1">
      <alignment vertical="center"/>
    </xf>
    <xf numFmtId="166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8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8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8" fontId="7" fillId="2" borderId="4" xfId="0" applyNumberFormat="1" applyFont="1" applyFill="1" applyBorder="1" applyAlignment="1">
      <alignment vertical="center"/>
    </xf>
    <xf numFmtId="168" fontId="7" fillId="10" borderId="3" xfId="0" applyNumberFormat="1" applyFont="1" applyFill="1" applyBorder="1" applyAlignment="1">
      <alignment vertical="center"/>
    </xf>
    <xf numFmtId="168" fontId="7" fillId="10" borderId="10" xfId="0" applyNumberFormat="1" applyFont="1" applyFill="1" applyBorder="1" applyAlignment="1">
      <alignment vertical="center"/>
    </xf>
    <xf numFmtId="168" fontId="7" fillId="10" borderId="16" xfId="0" applyNumberFormat="1" applyFont="1" applyFill="1" applyBorder="1" applyAlignment="1">
      <alignment vertical="center"/>
    </xf>
    <xf numFmtId="168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8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8" fontId="8" fillId="2" borderId="36" xfId="0" applyNumberFormat="1" applyFont="1" applyFill="1" applyBorder="1" applyAlignment="1">
      <alignment vertical="center"/>
    </xf>
    <xf numFmtId="168" fontId="8" fillId="2" borderId="9" xfId="0" applyNumberFormat="1" applyFont="1" applyFill="1" applyBorder="1" applyAlignment="1">
      <alignment vertical="center"/>
    </xf>
    <xf numFmtId="168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8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6" fontId="7" fillId="0" borderId="0" xfId="14" applyNumberFormat="1" applyFont="1" applyAlignment="1" applyProtection="1">
      <alignment vertical="center"/>
    </xf>
    <xf numFmtId="166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69" fontId="22" fillId="0" borderId="0" xfId="15" applyNumberFormat="1" applyFont="1" applyFill="1" applyBorder="1" applyAlignment="1" applyProtection="1">
      <alignment horizontal="center" vertical="center"/>
    </xf>
    <xf numFmtId="43" fontId="22" fillId="0" borderId="0" xfId="0" applyNumberFormat="1" applyFont="1" applyAlignment="1">
      <alignment horizontal="right" vertical="center"/>
    </xf>
    <xf numFmtId="170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6" fontId="8" fillId="2" borderId="30" xfId="14" applyNumberFormat="1" applyFont="1" applyFill="1" applyBorder="1" applyAlignment="1" applyProtection="1">
      <alignment horizontal="center" vertical="center" wrapText="1"/>
    </xf>
    <xf numFmtId="166" fontId="8" fillId="2" borderId="12" xfId="14" applyNumberFormat="1" applyFont="1" applyFill="1" applyBorder="1" applyAlignment="1" applyProtection="1">
      <alignment horizontal="center" vertical="center" wrapText="1"/>
    </xf>
    <xf numFmtId="166" fontId="8" fillId="2" borderId="34" xfId="14" applyNumberFormat="1" applyFont="1" applyFill="1" applyBorder="1" applyAlignment="1" applyProtection="1">
      <alignment horizontal="center" vertical="center" wrapText="1"/>
    </xf>
    <xf numFmtId="166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6" fontId="8" fillId="2" borderId="32" xfId="14" applyNumberFormat="1" applyFont="1" applyFill="1" applyBorder="1" applyAlignment="1" applyProtection="1">
      <alignment horizontal="center" vertical="center" wrapText="1"/>
    </xf>
    <xf numFmtId="166" fontId="8" fillId="2" borderId="24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1" fontId="8" fillId="5" borderId="12" xfId="0" applyNumberFormat="1" applyFont="1" applyFill="1" applyBorder="1" applyAlignment="1">
      <alignment vertical="center"/>
    </xf>
    <xf numFmtId="171" fontId="8" fillId="5" borderId="18" xfId="0" applyNumberFormat="1" applyFont="1" applyFill="1" applyBorder="1" applyAlignment="1">
      <alignment vertical="center"/>
    </xf>
    <xf numFmtId="171" fontId="8" fillId="5" borderId="17" xfId="0" applyNumberFormat="1" applyFont="1" applyFill="1" applyBorder="1" applyAlignment="1">
      <alignment vertical="center"/>
    </xf>
    <xf numFmtId="171" fontId="8" fillId="5" borderId="32" xfId="0" applyNumberFormat="1" applyFont="1" applyFill="1" applyBorder="1" applyAlignment="1">
      <alignment vertical="center"/>
    </xf>
    <xf numFmtId="171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2" fontId="8" fillId="0" borderId="55" xfId="0" applyNumberFormat="1" applyFont="1" applyBorder="1" applyAlignment="1">
      <alignment horizontal="center" vertical="center" wrapText="1"/>
    </xf>
    <xf numFmtId="173" fontId="8" fillId="0" borderId="55" xfId="16" applyNumberFormat="1" applyFont="1" applyFill="1" applyBorder="1" applyAlignment="1" applyProtection="1">
      <alignment vertical="center" wrapText="1"/>
    </xf>
    <xf numFmtId="173" fontId="8" fillId="0" borderId="61" xfId="16" applyNumberFormat="1" applyFont="1" applyFill="1" applyBorder="1" applyAlignment="1" applyProtection="1">
      <alignment vertical="center" wrapText="1"/>
    </xf>
    <xf numFmtId="173" fontId="8" fillId="0" borderId="54" xfId="16" applyNumberFormat="1" applyFont="1" applyFill="1" applyBorder="1" applyAlignment="1" applyProtection="1">
      <alignment vertical="center" wrapText="1"/>
    </xf>
    <xf numFmtId="170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0" fontId="7" fillId="2" borderId="5" xfId="0" applyNumberFormat="1" applyFont="1" applyFill="1" applyBorder="1" applyAlignment="1">
      <alignment horizontal="center" vertical="center"/>
    </xf>
    <xf numFmtId="170" fontId="7" fillId="0" borderId="5" xfId="0" applyNumberFormat="1" applyFont="1" applyBorder="1" applyAlignment="1">
      <alignment horizontal="center" vertical="center"/>
    </xf>
    <xf numFmtId="170" fontId="7" fillId="0" borderId="37" xfId="0" applyNumberFormat="1" applyFont="1" applyBorder="1" applyAlignment="1">
      <alignment horizontal="center" vertical="center"/>
    </xf>
    <xf numFmtId="170" fontId="7" fillId="8" borderId="4" xfId="15" applyNumberFormat="1" applyFont="1" applyFill="1" applyBorder="1" applyAlignment="1" applyProtection="1">
      <alignment horizontal="center" vertical="center"/>
      <protection locked="0"/>
    </xf>
    <xf numFmtId="170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0" fontId="7" fillId="0" borderId="4" xfId="0" applyNumberFormat="1" applyFont="1" applyBorder="1" applyAlignment="1">
      <alignment horizontal="center" vertical="center"/>
    </xf>
    <xf numFmtId="170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3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3" fontId="8" fillId="7" borderId="9" xfId="0" applyNumberFormat="1" applyFont="1" applyFill="1" applyBorder="1" applyAlignment="1">
      <alignment vertical="center"/>
    </xf>
    <xf numFmtId="170" fontId="8" fillId="7" borderId="41" xfId="0" applyNumberFormat="1" applyFont="1" applyFill="1" applyBorder="1" applyAlignment="1">
      <alignment horizontal="center" vertical="center"/>
    </xf>
    <xf numFmtId="170" fontId="8" fillId="7" borderId="36" xfId="0" applyNumberFormat="1" applyFont="1" applyFill="1" applyBorder="1" applyAlignment="1">
      <alignment horizontal="center" vertical="center"/>
    </xf>
    <xf numFmtId="170" fontId="8" fillId="7" borderId="39" xfId="0" applyNumberFormat="1" applyFont="1" applyFill="1" applyBorder="1" applyAlignment="1">
      <alignment horizontal="center" vertical="center"/>
    </xf>
    <xf numFmtId="170" fontId="8" fillId="7" borderId="20" xfId="0" applyNumberFormat="1" applyFont="1" applyFill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 wrapText="1"/>
    </xf>
    <xf numFmtId="170" fontId="8" fillId="7" borderId="8" xfId="0" applyNumberFormat="1" applyFont="1" applyFill="1" applyBorder="1" applyAlignment="1">
      <alignment horizontal="center" vertical="center"/>
    </xf>
    <xf numFmtId="170" fontId="8" fillId="7" borderId="23" xfId="0" applyNumberFormat="1" applyFont="1" applyFill="1" applyBorder="1" applyAlignment="1">
      <alignment horizontal="center" vertical="center"/>
    </xf>
    <xf numFmtId="170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2" fontId="8" fillId="0" borderId="24" xfId="0" applyNumberFormat="1" applyFont="1" applyBorder="1" applyAlignment="1">
      <alignment horizontal="center" vertical="center" wrapText="1"/>
    </xf>
    <xf numFmtId="173" fontId="8" fillId="0" borderId="24" xfId="16" applyNumberFormat="1" applyFont="1" applyFill="1" applyBorder="1" applyAlignment="1" applyProtection="1">
      <alignment vertical="center" wrapText="1"/>
    </xf>
    <xf numFmtId="173" fontId="8" fillId="0" borderId="37" xfId="16" applyNumberFormat="1" applyFont="1" applyFill="1" applyBorder="1" applyAlignment="1" applyProtection="1">
      <alignment vertical="center" wrapText="1"/>
    </xf>
    <xf numFmtId="173" fontId="8" fillId="0" borderId="25" xfId="16" applyNumberFormat="1" applyFont="1" applyFill="1" applyBorder="1" applyAlignment="1" applyProtection="1">
      <alignment vertical="center" wrapText="1"/>
    </xf>
    <xf numFmtId="173" fontId="8" fillId="0" borderId="15" xfId="16" applyNumberFormat="1" applyFont="1" applyFill="1" applyBorder="1" applyAlignment="1" applyProtection="1">
      <alignment vertical="center" wrapText="1"/>
    </xf>
    <xf numFmtId="173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3" fontId="7" fillId="0" borderId="4" xfId="0" applyNumberFormat="1" applyFont="1" applyBorder="1" applyAlignment="1">
      <alignment vertical="center"/>
    </xf>
    <xf numFmtId="17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3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3" fontId="8" fillId="7" borderId="21" xfId="0" applyNumberFormat="1" applyFont="1" applyFill="1" applyBorder="1" applyAlignment="1">
      <alignment vertical="center"/>
    </xf>
    <xf numFmtId="173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0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0" fontId="8" fillId="2" borderId="23" xfId="0" applyNumberFormat="1" applyFont="1" applyFill="1" applyBorder="1" applyAlignment="1">
      <alignment horizontal="center" vertical="center"/>
    </xf>
    <xf numFmtId="170" fontId="8" fillId="2" borderId="36" xfId="0" applyNumberFormat="1" applyFont="1" applyFill="1" applyBorder="1" applyAlignment="1">
      <alignment horizontal="center" vertical="center"/>
    </xf>
    <xf numFmtId="170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1" fontId="8" fillId="5" borderId="23" xfId="0" applyNumberFormat="1" applyFont="1" applyFill="1" applyBorder="1" applyAlignment="1">
      <alignment vertical="center"/>
    </xf>
    <xf numFmtId="171" fontId="8" fillId="5" borderId="70" xfId="0" applyNumberFormat="1" applyFont="1" applyFill="1" applyBorder="1" applyAlignment="1">
      <alignment vertical="center"/>
    </xf>
    <xf numFmtId="171" fontId="8" fillId="5" borderId="56" xfId="0" applyNumberFormat="1" applyFont="1" applyFill="1" applyBorder="1" applyAlignment="1">
      <alignment vertical="center"/>
    </xf>
    <xf numFmtId="171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0" fontId="7" fillId="8" borderId="22" xfId="0" applyNumberFormat="1" applyFont="1" applyFill="1" applyBorder="1" applyAlignment="1" applyProtection="1">
      <alignment vertical="center"/>
      <protection locked="0"/>
    </xf>
    <xf numFmtId="170" fontId="7" fillId="2" borderId="22" xfId="0" applyNumberFormat="1" applyFont="1" applyFill="1" applyBorder="1" applyAlignment="1">
      <alignment horizontal="center" vertical="center"/>
    </xf>
    <xf numFmtId="170" fontId="7" fillId="2" borderId="61" xfId="0" applyNumberFormat="1" applyFont="1" applyFill="1" applyBorder="1" applyAlignment="1">
      <alignment horizontal="center" vertical="center"/>
    </xf>
    <xf numFmtId="170" fontId="7" fillId="8" borderId="50" xfId="15" applyNumberFormat="1" applyFont="1" applyFill="1" applyBorder="1" applyAlignment="1" applyProtection="1">
      <alignment horizontal="center" vertical="center"/>
      <protection locked="0"/>
    </xf>
    <xf numFmtId="170" fontId="7" fillId="8" borderId="22" xfId="15" applyNumberFormat="1" applyFont="1" applyFill="1" applyBorder="1" applyAlignment="1" applyProtection="1">
      <alignment horizontal="center" vertical="center"/>
      <protection locked="0"/>
    </xf>
    <xf numFmtId="170" fontId="7" fillId="8" borderId="40" xfId="15" applyNumberFormat="1" applyFont="1" applyFill="1" applyBorder="1" applyAlignment="1" applyProtection="1">
      <alignment horizontal="center" vertical="center"/>
      <protection locked="0"/>
    </xf>
    <xf numFmtId="170" fontId="7" fillId="0" borderId="53" xfId="0" applyNumberFormat="1" applyFont="1" applyBorder="1" applyAlignment="1">
      <alignment horizontal="center" vertical="center"/>
    </xf>
    <xf numFmtId="170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0" fontId="7" fillId="8" borderId="4" xfId="0" applyNumberFormat="1" applyFont="1" applyFill="1" applyBorder="1" applyAlignment="1" applyProtection="1">
      <alignment vertical="center"/>
      <protection locked="0"/>
    </xf>
    <xf numFmtId="170" fontId="7" fillId="2" borderId="37" xfId="0" applyNumberFormat="1" applyFont="1" applyFill="1" applyBorder="1" applyAlignment="1">
      <alignment horizontal="center" vertical="center"/>
    </xf>
    <xf numFmtId="170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0" fontId="7" fillId="8" borderId="9" xfId="0" applyNumberFormat="1" applyFont="1" applyFill="1" applyBorder="1" applyAlignment="1" applyProtection="1">
      <alignment vertical="center"/>
      <protection locked="0"/>
    </xf>
    <xf numFmtId="170" fontId="7" fillId="2" borderId="36" xfId="0" applyNumberFormat="1" applyFont="1" applyFill="1" applyBorder="1" applyAlignment="1">
      <alignment horizontal="center" vertical="center"/>
    </xf>
    <xf numFmtId="170" fontId="7" fillId="2" borderId="39" xfId="0" applyNumberFormat="1" applyFont="1" applyFill="1" applyBorder="1" applyAlignment="1">
      <alignment horizontal="center" vertical="center"/>
    </xf>
    <xf numFmtId="170" fontId="7" fillId="8" borderId="8" xfId="15" applyNumberFormat="1" applyFont="1" applyFill="1" applyBorder="1" applyAlignment="1" applyProtection="1">
      <alignment horizontal="center" vertical="center"/>
      <protection locked="0"/>
    </xf>
    <xf numFmtId="170" fontId="7" fillId="8" borderId="9" xfId="15" applyNumberFormat="1" applyFont="1" applyFill="1" applyBorder="1" applyAlignment="1" applyProtection="1">
      <alignment horizontal="center" vertical="center"/>
      <protection locked="0"/>
    </xf>
    <xf numFmtId="170" fontId="7" fillId="8" borderId="16" xfId="15" applyNumberFormat="1" applyFont="1" applyFill="1" applyBorder="1" applyAlignment="1" applyProtection="1">
      <alignment horizontal="center" vertical="center"/>
      <protection locked="0"/>
    </xf>
    <xf numFmtId="170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0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0" fontId="8" fillId="5" borderId="12" xfId="0" applyNumberFormat="1" applyFont="1" applyFill="1" applyBorder="1" applyAlignment="1">
      <alignment horizontal="right" vertical="center"/>
    </xf>
    <xf numFmtId="170" fontId="8" fillId="5" borderId="32" xfId="0" applyNumberFormat="1" applyFont="1" applyFill="1" applyBorder="1" applyAlignment="1">
      <alignment horizontal="right" vertical="center"/>
    </xf>
    <xf numFmtId="170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0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0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0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6" fontId="8" fillId="2" borderId="25" xfId="14" applyNumberFormat="1" applyFont="1" applyFill="1" applyBorder="1" applyAlignment="1" applyProtection="1">
      <alignment horizontal="center" vertical="center" wrapText="1"/>
    </xf>
    <xf numFmtId="166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0" fontId="7" fillId="8" borderId="13" xfId="15" applyNumberFormat="1" applyFont="1" applyFill="1" applyBorder="1" applyAlignment="1" applyProtection="1">
      <alignment horizontal="center" vertical="center"/>
      <protection locked="0"/>
    </xf>
    <xf numFmtId="17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3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0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0" fontId="9" fillId="3" borderId="38" xfId="0" applyNumberFormat="1" applyFont="1" applyFill="1" applyBorder="1" applyAlignment="1">
      <alignment horizontal="center" vertical="center"/>
    </xf>
    <xf numFmtId="170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0" fontId="8" fillId="2" borderId="22" xfId="0" applyNumberFormat="1" applyFont="1" applyFill="1" applyBorder="1" applyAlignment="1">
      <alignment horizontal="center" vertical="center"/>
    </xf>
    <xf numFmtId="170" fontId="8" fillId="0" borderId="22" xfId="0" applyNumberFormat="1" applyFont="1" applyBorder="1" applyAlignment="1">
      <alignment horizontal="center" vertical="center"/>
    </xf>
    <xf numFmtId="170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0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8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6" fontId="7" fillId="0" borderId="18" xfId="14" applyNumberFormat="1" applyFont="1" applyBorder="1" applyAlignment="1" applyProtection="1">
      <alignment vertical="center"/>
    </xf>
    <xf numFmtId="166" fontId="7" fillId="0" borderId="34" xfId="14" applyNumberFormat="1" applyFont="1" applyBorder="1" applyAlignment="1" applyProtection="1">
      <alignment vertical="center"/>
    </xf>
    <xf numFmtId="166" fontId="7" fillId="0" borderId="0" xfId="14" applyNumberFormat="1" applyFont="1" applyBorder="1" applyAlignment="1" applyProtection="1">
      <alignment vertical="center"/>
    </xf>
    <xf numFmtId="166" fontId="8" fillId="2" borderId="38" xfId="14" applyNumberFormat="1" applyFont="1" applyFill="1" applyBorder="1" applyAlignment="1" applyProtection="1">
      <alignment horizontal="center" vertical="center" wrapText="1"/>
    </xf>
    <xf numFmtId="166" fontId="8" fillId="2" borderId="29" xfId="14" applyNumberFormat="1" applyFont="1" applyFill="1" applyBorder="1" applyAlignment="1" applyProtection="1">
      <alignment horizontal="center" vertical="center" wrapText="1"/>
    </xf>
    <xf numFmtId="166" fontId="8" fillId="2" borderId="15" xfId="14" applyNumberFormat="1" applyFont="1" applyFill="1" applyBorder="1" applyAlignment="1" applyProtection="1">
      <alignment horizontal="center" vertical="center" wrapText="1"/>
    </xf>
    <xf numFmtId="166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0" fontId="7" fillId="0" borderId="22" xfId="0" applyNumberFormat="1" applyFont="1" applyBorder="1" applyAlignment="1">
      <alignment horizontal="center" vertical="center"/>
    </xf>
    <xf numFmtId="170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0" fontId="7" fillId="0" borderId="36" xfId="0" applyNumberFormat="1" applyFont="1" applyBorder="1" applyAlignment="1">
      <alignment horizontal="center" vertical="center"/>
    </xf>
    <xf numFmtId="170" fontId="7" fillId="10" borderId="36" xfId="0" applyNumberFormat="1" applyFont="1" applyFill="1" applyBorder="1" applyAlignment="1">
      <alignment horizontal="center" vertical="center"/>
    </xf>
    <xf numFmtId="170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4" fontId="7" fillId="2" borderId="0" xfId="0" applyNumberFormat="1" applyFont="1" applyFill="1" applyAlignment="1" applyProtection="1">
      <alignment horizontal="left" vertical="center"/>
      <protection locked="0"/>
    </xf>
    <xf numFmtId="174" fontId="7" fillId="2" borderId="0" xfId="0" applyNumberFormat="1" applyFont="1" applyFill="1" applyAlignment="1">
      <alignment horizontal="left" vertical="center"/>
    </xf>
    <xf numFmtId="174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0" fontId="7" fillId="10" borderId="12" xfId="0" applyNumberFormat="1" applyFont="1" applyFill="1" applyBorder="1" applyAlignment="1">
      <alignment horizontal="center" vertical="center"/>
    </xf>
    <xf numFmtId="170" fontId="7" fillId="0" borderId="34" xfId="0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0" fontId="7" fillId="2" borderId="70" xfId="0" applyNumberFormat="1" applyFont="1" applyFill="1" applyBorder="1" applyAlignment="1">
      <alignment horizontal="center" vertical="center"/>
    </xf>
    <xf numFmtId="170" fontId="7" fillId="2" borderId="26" xfId="0" applyNumberFormat="1" applyFont="1" applyFill="1" applyBorder="1" applyAlignment="1">
      <alignment horizontal="center" vertical="center"/>
    </xf>
    <xf numFmtId="170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0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3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4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4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0" fontId="9" fillId="2" borderId="0" xfId="0" applyNumberFormat="1" applyFont="1" applyFill="1" applyAlignment="1">
      <alignment horizontal="center" vertical="center" wrapText="1"/>
    </xf>
    <xf numFmtId="168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2" borderId="4" xfId="10" applyFont="1" applyFill="1" applyBorder="1" applyAlignment="1">
      <alignment vertical="center"/>
    </xf>
    <xf numFmtId="0" fontId="29" fillId="11" borderId="4" xfId="0" applyFont="1" applyFill="1" applyBorder="1" applyAlignment="1" applyProtection="1">
      <alignment horizontal="left" vertical="center"/>
      <protection locked="0"/>
    </xf>
    <xf numFmtId="0" fontId="29" fillId="11" borderId="21" xfId="17" applyNumberFormat="1" applyFont="1" applyFill="1" applyBorder="1" applyAlignment="1" applyProtection="1">
      <alignment horizontal="left" vertical="center"/>
      <protection locked="0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1" xfId="18" applyFont="1" applyFill="1" applyBorder="1" applyAlignment="1" applyProtection="1">
      <alignment vertical="center"/>
      <protection locked="0"/>
    </xf>
    <xf numFmtId="1" fontId="12" fillId="0" borderId="4" xfId="12" applyNumberFormat="1" applyFont="1" applyBorder="1" applyAlignment="1" applyProtection="1">
      <alignment horizontal="center" vertical="center"/>
      <protection locked="0"/>
    </xf>
    <xf numFmtId="0" fontId="14" fillId="2" borderId="4" xfId="18" applyFont="1" applyFill="1" applyBorder="1" applyAlignment="1" applyProtection="1">
      <alignment horizontal="center" vertical="center"/>
      <protection locked="0"/>
    </xf>
    <xf numFmtId="0" fontId="14" fillId="0" borderId="2" xfId="18" applyFont="1" applyBorder="1" applyAlignment="1" applyProtection="1">
      <alignment horizontal="center" vertical="center"/>
      <protection locked="0"/>
    </xf>
    <xf numFmtId="0" fontId="14" fillId="0" borderId="3" xfId="18" applyFont="1" applyBorder="1" applyAlignment="1" applyProtection="1">
      <alignment horizontal="center" vertical="center"/>
      <protection locked="0"/>
    </xf>
    <xf numFmtId="0" fontId="14" fillId="2" borderId="4" xfId="18" applyFont="1" applyFill="1" applyBorder="1" applyAlignment="1" applyProtection="1">
      <alignment horizontal="center" vertical="center" wrapText="1"/>
      <protection locked="0"/>
    </xf>
    <xf numFmtId="0" fontId="16" fillId="2" borderId="4" xfId="18" applyFont="1" applyFill="1" applyBorder="1" applyAlignment="1" applyProtection="1">
      <alignment horizontal="left" vertical="center"/>
      <protection locked="0"/>
    </xf>
    <xf numFmtId="0" fontId="17" fillId="0" borderId="21" xfId="18" applyFont="1" applyBorder="1" applyAlignment="1" applyProtection="1">
      <alignment horizontal="center" vertical="center"/>
      <protection locked="0"/>
    </xf>
    <xf numFmtId="0" fontId="14" fillId="2" borderId="72" xfId="18" applyFont="1" applyFill="1" applyBorder="1" applyAlignment="1" applyProtection="1">
      <alignment horizontal="center" vertical="center" wrapText="1"/>
      <protection locked="0"/>
    </xf>
    <xf numFmtId="0" fontId="14" fillId="2" borderId="5" xfId="18" applyFont="1" applyFill="1" applyBorder="1" applyAlignment="1" applyProtection="1">
      <alignment horizontal="center" vertical="center" wrapText="1"/>
      <protection locked="0"/>
    </xf>
    <xf numFmtId="0" fontId="14" fillId="0" borderId="45" xfId="18" applyFont="1" applyBorder="1" applyAlignment="1" applyProtection="1">
      <alignment horizontal="center" vertical="center"/>
      <protection locked="0"/>
    </xf>
    <xf numFmtId="0" fontId="16" fillId="2" borderId="22" xfId="18" applyFont="1" applyFill="1" applyBorder="1" applyAlignment="1" applyProtection="1">
      <alignment vertical="center"/>
      <protection locked="0"/>
    </xf>
    <xf numFmtId="0" fontId="16" fillId="2" borderId="4" xfId="18" applyFont="1" applyFill="1" applyBorder="1" applyAlignment="1" applyProtection="1">
      <alignment vertical="center"/>
      <protection locked="0"/>
    </xf>
    <xf numFmtId="0" fontId="16" fillId="2" borderId="21" xfId="18" applyFont="1" applyFill="1" applyBorder="1" applyAlignment="1" applyProtection="1">
      <alignment vertical="center"/>
      <protection locked="0"/>
    </xf>
    <xf numFmtId="0" fontId="14" fillId="2" borderId="2" xfId="18" applyFont="1" applyFill="1" applyBorder="1" applyAlignment="1" applyProtection="1">
      <alignment horizontal="center" vertical="center"/>
      <protection locked="0"/>
    </xf>
    <xf numFmtId="0" fontId="14" fillId="2" borderId="3" xfId="18" applyFont="1" applyFill="1" applyBorder="1" applyAlignment="1" applyProtection="1">
      <alignment horizontal="center" vertical="center"/>
      <protection locked="0"/>
    </xf>
    <xf numFmtId="164" fontId="12" fillId="4" borderId="46" xfId="12" applyNumberFormat="1" applyFont="1" applyFill="1" applyBorder="1" applyAlignment="1" applyProtection="1">
      <alignment horizontal="center" vertical="center"/>
    </xf>
    <xf numFmtId="164" fontId="12" fillId="4" borderId="75" xfId="12" applyNumberFormat="1" applyFont="1" applyFill="1" applyBorder="1" applyAlignment="1" applyProtection="1">
      <alignment horizontal="center" vertical="center"/>
    </xf>
    <xf numFmtId="0" fontId="14" fillId="12" borderId="4" xfId="18" applyFont="1" applyFill="1" applyBorder="1" applyAlignment="1" applyProtection="1">
      <alignment horizontal="center" vertical="center"/>
      <protection locked="0"/>
    </xf>
    <xf numFmtId="1" fontId="12" fillId="12" borderId="4" xfId="0" applyNumberFormat="1" applyFont="1" applyFill="1" applyBorder="1" applyAlignment="1">
      <alignment horizontal="center" vertical="center"/>
    </xf>
    <xf numFmtId="1" fontId="12" fillId="13" borderId="4" xfId="0" applyNumberFormat="1" applyFont="1" applyFill="1" applyBorder="1" applyAlignment="1">
      <alignment horizontal="center" vertical="center"/>
    </xf>
    <xf numFmtId="1" fontId="12" fillId="14" borderId="4" xfId="0" applyNumberFormat="1" applyFont="1" applyFill="1" applyBorder="1" applyAlignment="1">
      <alignment horizontal="center" vertical="center"/>
    </xf>
    <xf numFmtId="0" fontId="14" fillId="13" borderId="4" xfId="18" applyFont="1" applyFill="1" applyBorder="1" applyAlignment="1" applyProtection="1">
      <alignment horizontal="center" vertical="center"/>
      <protection locked="0"/>
    </xf>
    <xf numFmtId="0" fontId="17" fillId="13" borderId="4" xfId="18" applyFont="1" applyFill="1" applyBorder="1" applyAlignment="1" applyProtection="1">
      <alignment horizontal="center" vertical="center"/>
      <protection locked="0"/>
    </xf>
    <xf numFmtId="0" fontId="30" fillId="12" borderId="4" xfId="0" applyFont="1" applyFill="1" applyBorder="1" applyAlignment="1" applyProtection="1">
      <alignment horizontal="center" vertical="center"/>
      <protection locked="0"/>
    </xf>
    <xf numFmtId="0" fontId="30" fillId="12" borderId="21" xfId="17" applyNumberFormat="1" applyFont="1" applyFill="1" applyBorder="1" applyAlignment="1" applyProtection="1">
      <alignment horizontal="center" vertical="center"/>
      <protection locked="0"/>
    </xf>
    <xf numFmtId="0" fontId="17" fillId="12" borderId="4" xfId="18" applyFont="1" applyFill="1" applyBorder="1" applyAlignment="1" applyProtection="1">
      <alignment horizontal="center" vertical="center"/>
      <protection locked="0"/>
    </xf>
    <xf numFmtId="0" fontId="17" fillId="12" borderId="21" xfId="18" applyFont="1" applyFill="1" applyBorder="1" applyAlignment="1" applyProtection="1">
      <alignment horizontal="center" vertical="center"/>
      <protection locked="0"/>
    </xf>
    <xf numFmtId="0" fontId="14" fillId="14" borderId="4" xfId="18" applyFont="1" applyFill="1" applyBorder="1" applyAlignment="1" applyProtection="1">
      <alignment horizontal="center" vertical="center"/>
      <protection locked="0"/>
    </xf>
    <xf numFmtId="0" fontId="30" fillId="14" borderId="21" xfId="17" applyNumberFormat="1" applyFont="1" applyFill="1" applyBorder="1" applyAlignment="1" applyProtection="1">
      <alignment horizontal="center" vertical="center"/>
      <protection locked="0"/>
    </xf>
    <xf numFmtId="0" fontId="17" fillId="14" borderId="4" xfId="18" applyFont="1" applyFill="1" applyBorder="1" applyAlignment="1" applyProtection="1">
      <alignment horizontal="center" vertical="center"/>
      <protection locked="0"/>
    </xf>
    <xf numFmtId="0" fontId="17" fillId="14" borderId="21" xfId="18" applyFont="1" applyFill="1" applyBorder="1" applyAlignment="1" applyProtection="1">
      <alignment horizontal="center" vertical="center"/>
      <protection locked="0"/>
    </xf>
    <xf numFmtId="0" fontId="14" fillId="15" borderId="4" xfId="18" applyFont="1" applyFill="1" applyBorder="1" applyAlignment="1" applyProtection="1">
      <alignment horizontal="center" vertical="center"/>
      <protection locked="0"/>
    </xf>
    <xf numFmtId="0" fontId="17" fillId="15" borderId="21" xfId="18" applyFont="1" applyFill="1" applyBorder="1" applyAlignment="1" applyProtection="1">
      <alignment horizontal="center" vertical="center"/>
      <protection locked="0"/>
    </xf>
    <xf numFmtId="1" fontId="12" fillId="15" borderId="4" xfId="0" applyNumberFormat="1" applyFont="1" applyFill="1" applyBorder="1" applyAlignment="1">
      <alignment horizontal="center" vertical="center"/>
    </xf>
    <xf numFmtId="1" fontId="7" fillId="8" borderId="4" xfId="0" applyNumberFormat="1" applyFont="1" applyFill="1" applyBorder="1" applyAlignment="1" applyProtection="1">
      <alignment horizontal="center" vertical="center"/>
      <protection locked="0"/>
    </xf>
    <xf numFmtId="0" fontId="14" fillId="0" borderId="4" xfId="18" applyFont="1" applyBorder="1" applyAlignment="1" applyProtection="1">
      <alignment horizontal="center" vertical="center"/>
      <protection locked="0"/>
    </xf>
    <xf numFmtId="0" fontId="17" fillId="0" borderId="4" xfId="18" applyFont="1" applyBorder="1" applyAlignment="1" applyProtection="1">
      <alignment horizontal="center" vertical="center"/>
      <protection locked="0"/>
    </xf>
    <xf numFmtId="0" fontId="16" fillId="0" borderId="21" xfId="10" applyFont="1" applyBorder="1" applyAlignment="1" applyProtection="1">
      <alignment vertical="center"/>
      <protection locked="0"/>
    </xf>
    <xf numFmtId="0" fontId="14" fillId="0" borderId="14" xfId="10" applyFont="1" applyBorder="1" applyAlignment="1" applyProtection="1">
      <alignment vertical="center"/>
      <protection locked="0"/>
    </xf>
    <xf numFmtId="0" fontId="14" fillId="2" borderId="2" xfId="18" applyFont="1" applyFill="1" applyBorder="1" applyAlignment="1" applyProtection="1">
      <alignment horizontal="center" vertical="center" wrapText="1"/>
      <protection locked="0"/>
    </xf>
    <xf numFmtId="0" fontId="16" fillId="2" borderId="14" xfId="18" applyFont="1" applyFill="1" applyBorder="1" applyAlignment="1" applyProtection="1">
      <alignment vertical="center"/>
      <protection locked="0"/>
    </xf>
    <xf numFmtId="0" fontId="12" fillId="2" borderId="4" xfId="18" applyFont="1" applyFill="1" applyBorder="1" applyAlignment="1" applyProtection="1">
      <alignment horizontal="left" vertical="center"/>
      <protection locked="0"/>
    </xf>
    <xf numFmtId="0" fontId="17" fillId="13" borderId="21" xfId="18" applyFont="1" applyFill="1" applyBorder="1" applyAlignment="1" applyProtection="1">
      <alignment horizontal="center" vertical="center"/>
      <protection locked="0"/>
    </xf>
    <xf numFmtId="0" fontId="12" fillId="2" borderId="21" xfId="10" applyFont="1" applyFill="1" applyBorder="1" applyAlignment="1" applyProtection="1">
      <alignment vertical="center"/>
      <protection locked="0"/>
    </xf>
    <xf numFmtId="0" fontId="12" fillId="2" borderId="1" xfId="18" applyFont="1" applyFill="1" applyBorder="1" applyAlignment="1" applyProtection="1">
      <alignment vertical="center"/>
      <protection locked="0"/>
    </xf>
    <xf numFmtId="0" fontId="12" fillId="12" borderId="4" xfId="18" applyFont="1" applyFill="1" applyBorder="1" applyAlignment="1" applyProtection="1">
      <alignment horizontal="center" vertical="center"/>
      <protection locked="0"/>
    </xf>
    <xf numFmtId="0" fontId="13" fillId="12" borderId="4" xfId="18" applyFont="1" applyFill="1" applyBorder="1" applyAlignment="1" applyProtection="1">
      <alignment horizontal="center" vertical="center"/>
      <protection locked="0"/>
    </xf>
    <xf numFmtId="0" fontId="16" fillId="16" borderId="21" xfId="10" applyFont="1" applyFill="1" applyBorder="1" applyAlignment="1" applyProtection="1">
      <alignment vertical="center"/>
      <protection locked="0"/>
    </xf>
    <xf numFmtId="0" fontId="31" fillId="2" borderId="4" xfId="18" applyFont="1" applyFill="1" applyBorder="1" applyAlignment="1" applyProtection="1">
      <alignment horizontal="left" vertical="center"/>
      <protection locked="0"/>
    </xf>
    <xf numFmtId="0" fontId="31" fillId="2" borderId="1" xfId="18" applyFont="1" applyFill="1" applyBorder="1" applyAlignment="1" applyProtection="1">
      <alignment vertical="center"/>
      <protection locked="0"/>
    </xf>
    <xf numFmtId="0" fontId="31" fillId="2" borderId="4" xfId="18" applyFont="1" applyFill="1" applyBorder="1" applyAlignment="1" applyProtection="1">
      <alignment vertical="center"/>
      <protection locked="0"/>
    </xf>
    <xf numFmtId="0" fontId="31" fillId="2" borderId="14" xfId="10" applyFont="1" applyFill="1" applyBorder="1" applyAlignment="1" applyProtection="1">
      <alignment vertical="center"/>
      <protection locked="0"/>
    </xf>
    <xf numFmtId="1" fontId="12" fillId="2" borderId="0" xfId="0" applyNumberFormat="1" applyFont="1" applyFill="1" applyAlignment="1" applyProtection="1">
      <alignment vertical="center"/>
      <protection locked="0"/>
    </xf>
    <xf numFmtId="1" fontId="12" fillId="2" borderId="0" xfId="0" applyNumberFormat="1" applyFont="1" applyFill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3" xfId="9" applyNumberFormat="1" applyFont="1" applyBorder="1" applyAlignment="1" applyProtection="1">
      <alignment horizontal="left" vertical="center"/>
      <protection locked="0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60" xfId="9" applyNumberFormat="1" applyFont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168" fontId="19" fillId="8" borderId="4" xfId="0" applyNumberFormat="1" applyFont="1" applyFill="1" applyBorder="1" applyAlignment="1" applyProtection="1">
      <alignment horizontal="left" vertical="center"/>
      <protection locked="0"/>
    </xf>
    <xf numFmtId="168" fontId="19" fillId="8" borderId="33" xfId="0" applyNumberFormat="1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</cellXfs>
  <cellStyles count="19">
    <cellStyle name="Euro" xfId="1" xr:uid="{00000000-0005-0000-0000-000000000000}"/>
    <cellStyle name="Lien hypertexte" xfId="3" builtinId="8" hidden="1"/>
    <cellStyle name="Lien hypertexte" xfId="5" builtinId="8" hidden="1"/>
    <cellStyle name="Lien hypertexte" xfId="7" builtinId="8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3 2" xfId="18" xr:uid="{00000000-0005-0000-0000-00000D000000}"/>
    <cellStyle name="Normal 4" xfId="13" xr:uid="{00000000-0005-0000-0000-00000E000000}"/>
    <cellStyle name="Pourcentage" xfId="9" builtinId="5"/>
    <cellStyle name="Pourcentage 2" xfId="11" xr:uid="{00000000-0005-0000-0000-000010000000}"/>
    <cellStyle name="Pourcentage 3" xfId="12" xr:uid="{00000000-0005-0000-0000-000011000000}"/>
    <cellStyle name="Texte explicatif" xfId="17" builtinId="53"/>
  </cellStyles>
  <dxfs count="80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FFFD9"/>
      <color rgb="FFFAF0F0"/>
      <color rgb="FFFBE1E1"/>
      <color rgb="FFFF99FF"/>
      <color rgb="FFE84242"/>
      <color rgb="FFCCFF66"/>
      <color rgb="FFFF8E8E"/>
      <color rgb="FFF0F8FA"/>
      <color rgb="FFF4F7ED"/>
      <color rgb="FFF8ED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Aude Petignier" id="{5EF55ED8-87EC-4E46-A74D-2FA878070CE4}" userId="S::aupetign@univ-lyon2.fr::0cfc3b39-2d69-4650-8169-3d8fdd988ac9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4" dT="2022-04-27T14:32:18.30" personId="{5EF55ED8-87EC-4E46-A74D-2FA878070CE4}" id="{F6B9A5AA-6D95-4CE7-B11F-D77BFB673626}">
    <text>moyenne entre 2 parcours audio et video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2"/>
  <sheetViews>
    <sheetView tabSelected="1" zoomScale="85" zoomScaleNormal="85" workbookViewId="0">
      <pane xSplit="3" ySplit="7" topLeftCell="D59" activePane="bottomRight" state="frozen"/>
      <selection pane="bottomRight" activeCell="I4" sqref="I4"/>
      <selection pane="bottomLeft" activeCell="A7" sqref="A7"/>
      <selection pane="topRight" activeCell="D1" sqref="D1"/>
    </sheetView>
  </sheetViews>
  <sheetFormatPr defaultColWidth="11.5703125" defaultRowHeight="15.6" outlineLevelCol="1"/>
  <cols>
    <col min="1" max="1" width="11.5703125" style="9"/>
    <col min="2" max="2" width="8.7109375" style="9" customWidth="1"/>
    <col min="3" max="3" width="50" style="10" customWidth="1"/>
    <col min="4" max="4" width="10.140625" style="10" customWidth="1"/>
    <col min="5" max="5" width="13" style="10" customWidth="1"/>
    <col min="6" max="6" width="9.28515625" style="10" customWidth="1"/>
    <col min="7" max="8" width="10" style="10" customWidth="1"/>
    <col min="9" max="11" width="11.42578125" style="10" customWidth="1"/>
    <col min="12" max="12" width="12.7109375" style="10" customWidth="1"/>
    <col min="13" max="15" width="12.28515625" style="10" customWidth="1"/>
    <col min="16" max="16" width="11.7109375" style="11" customWidth="1"/>
    <col min="17" max="27" width="12.28515625" style="10" customWidth="1"/>
    <col min="28" max="28" width="34.140625" style="10" customWidth="1"/>
    <col min="29" max="29" width="11.28515625" style="10" customWidth="1" outlineLevel="1"/>
    <col min="30" max="30" width="10.85546875" style="10" customWidth="1" outlineLevel="1"/>
    <col min="31" max="16384" width="11.5703125" style="10"/>
  </cols>
  <sheetData>
    <row r="1" spans="1:30" ht="6" customHeight="1"/>
    <row r="2" spans="1:30" ht="31.15">
      <c r="A2" s="10"/>
      <c r="H2" s="397" t="s">
        <v>0</v>
      </c>
      <c r="I2" s="395" t="s">
        <v>1</v>
      </c>
      <c r="J2" s="396" t="s">
        <v>2</v>
      </c>
      <c r="K2" s="395" t="s">
        <v>3</v>
      </c>
      <c r="L2" s="395" t="s">
        <v>4</v>
      </c>
      <c r="M2" s="406"/>
      <c r="O2" s="476">
        <f>H8+H9+H11+H13+H17+H20+H21+H24+H25+H55+H56+H63+H65+H67+H70+H76</f>
        <v>227</v>
      </c>
      <c r="P2" s="477">
        <v>180</v>
      </c>
      <c r="Q2" s="476">
        <v>21</v>
      </c>
      <c r="R2" s="476">
        <f>O2+P2</f>
        <v>407</v>
      </c>
      <c r="S2" s="476">
        <f>R2+Q2</f>
        <v>428</v>
      </c>
    </row>
    <row r="3" spans="1:30" ht="18" customHeight="1">
      <c r="A3" s="10"/>
      <c r="G3" s="25" t="s">
        <v>5</v>
      </c>
      <c r="H3" s="394">
        <f>SUM(I3:L3)</f>
        <v>1514</v>
      </c>
      <c r="I3" s="399">
        <f>SUMIFS($AC$8:$AC$99,$G$8:$G$99,Paramétrage!$D$6,Enseignements!$D$8:$D$99,"mixte")+SUMIFS($AC$8:$AC$99,$G$8:$G$99,Paramétrage!$D$7,Enseignements!$D$8:$D$99,"mixte")+SUMIFS($AC$8:$AC$99,$G$8:$G$99,Paramétrage!$D$8,Enseignements!$D$8:$D$99,"mixte")+SUMIFS($AC$8:$AC$99,$G$8:$G$99,Paramétrage!$D$10,Enseignements!$D$8:$D$99,"mixte")+SUMIFS($AC$8:$AC$99,$G$8:$G$99,Paramétrage!$D$11,Enseignements!$D$8:$D$99,"mixte")+SUMIFS($AC$8:$AC$99,$G$8:$G$99,Paramétrage!$D$16,Enseignements!$D$8:$D$99,"mixte")+SUMIFS($AC$8:$AC$99,$G$8:$G$99,Paramétrage!$D$17,Enseignements!$D$8:$D$99,"mixte")+SUMIFS($AC$8:$AC$99,$G$8:$G$99,Paramétrage!$D$19,Enseignements!$D$8:$D$99,"mixte")+SUMIFS($AC$8:$AC$99,$G$8:$G$99,Paramétrage!$D$23,Enseignements!$D$8:$D$99,"mixte")+SUMIFS($AC$8:$AC$99,$G$8:$G$99,Paramétrage!$D$24,Enseignements!$D$8:$D$99,"mixte")+SUMIFS($AC$8:$AC$99,$G$8:$G$99,Paramétrage!$D$26,Enseignements!$D$8:$D$99,"mixte")+SUMIFS($AC$8:$AC$99,$G$8:$G$99,Paramétrage!$D$27,Enseignements!$D$8:$D$99,"mixte")+SUMIFS($AC$8:$AC$99,$G$8:$G$99,Paramétrage!$D$6,Enseignements!$D$8:$D$99,"FI/FC")+SUMIFS($AC$8:$AC$99,$G$8:$G$99,Paramétrage!$D$7,Enseignements!$D$8:$D$99,"FI/FC")+SUMIFS($AC$8:$AC$99,$G$8:$G$99,Paramétrage!$D$8,Enseignements!$D$8:$D$99,"FI/FC")+SUMIFS($AC$8:$AC$99,$G$8:$G$99,Paramétrage!$D$10,Enseignements!$D$8:$D$99,"FI/FC")+SUMIFS($AC$8:$AC$99,$G$8:$G$99,Paramétrage!$D$11,Enseignements!$D$8:$D$99,"FI/FC")+SUMIFS($AC$8:$AC$99,$G$8:$G$99,Paramétrage!$D$16,Enseignements!$D$8:$D$99,"FI/FC")+SUMIFS($AC$8:$AC$99,$G$8:$G$99,Paramétrage!$D$17,Enseignements!$D$8:$D$99,"FI/FC")+SUMIFS($AC$8:$AC$99,$G$8:$G$99,Paramétrage!$D$19,Enseignements!$D$8:$D$99,"FI/FC")+SUMIFS($AC$8:$AC$99,$G$8:$G$99,Paramétrage!$D$23,Enseignements!$D$8:$D$99,"FI/FC")+SUMIFS($AC$8:$AC$99,$G$8:$G$99,Paramétrage!$D$24,Enseignements!$D$8:$D$99,"FI/FC")+SUMIFS($AC$8:$AC$99,$G$8:$G$99,Paramétrage!$D$26,Enseignements!$D$8:$D$99,"FI/FC")+SUMIFS($AC$8:$AC$99,$G$8:$G$99,Paramétrage!$D$27,Enseignements!$D$8:$D$99,"FI/FC")+SUMIFS($AC$8:$AC$99,$G$8:$G$99,Paramétrage!$D$13,Enseignements!$D$8:$D$99,"mixte")+SUMIFS($AC$8:$AC$99,$G$8:$G$99,Paramétrage!$D$13,Enseignements!$D$8:$D$99,"FI/FC")+SUMIFS($AC$8:$AC$99,$G$8:$G$99,Paramétrage!$D$14,Enseignements!$D$8:$D$99,"mixte")+SUMIFS($AC$8:$AC$99,$G$8:$G$99,Paramétrage!$D$14,Enseignements!$D$8:$D$99,"FI/FC")+SUMIFS($AC$8:$AC$99,$G$8:$G$99,Paramétrage!$D$20,Enseignements!$D$8:$D$99,"mixte")+SUMIFS($AC$8:$AC$99,$G$8:$G$99,Paramétrage!$D$20,Enseignements!$D$8:$D$99,"FI/FC")</f>
        <v>243</v>
      </c>
      <c r="J3" s="399">
        <f>SUMIF($G$8:$G$99,Paramétrage!$D$9,$AC$8:$AC$99)</f>
        <v>750</v>
      </c>
      <c r="K3" s="399">
        <f>SUMIFS($AC$8:$AC$99,$G$8:$G$99,Paramétrage!$D$15,Enseignements!$D$8:$D$99,"mixte")+SUMIFS($AC$8:$AC$99,$G$8:$G$99,Paramétrage!$D$15,Enseignements!$D$8:$D$99,"FI/FC")</f>
        <v>350</v>
      </c>
      <c r="L3" s="399">
        <f>SUMIFS($AC$8:$AC$99,$G$8:$G$99,Paramétrage!$D$18,Enseignements!$D$8:$D$99,"mixte")+SUMIFS($AC$8:$AC$99,$G$8:$G$99,Paramétrage!$D$21,Enseignements!$D$8:$D$99,"mixte")+SUMIFS($AC$8:$AC$99,$G$8:$G$99,Paramétrage!$D$22,Enseignements!$D$8:$D$99,"mixte")+SUMIFS($AC$8:$AC$99,$G$8:$G$99,Paramétrage!$D$25,Enseignements!$D$8:$D$99,"mixte")+SUMIFS($AC$8:$AC$99,$G$8:$G$99,Paramétrage!$D$18,Enseignements!$D$8:$D$99,"FI/FC")+SUMIFS($AC$8:$AC$99,$G$8:$G$99,Paramétrage!$D$21,Enseignements!$D$8:$D$99,"FI/FC")+SUMIFS($AC$8:$AC$99,$G$8:$G$99,Paramétrage!$D$22,Enseignements!$D$8:$D$99,"FI/FC")+SUMIFS($AC$8:$AC$99,$G$8:$G$99,Paramétrage!$D$25,Enseignements!$D$8:$D$99,"FI/FC")</f>
        <v>171</v>
      </c>
      <c r="M3" s="406"/>
      <c r="O3" s="476">
        <f>H8+H9+H11+H14+H17+H20+H21+H24+H25+H55+H56+H63+H65+H67+H70+H76</f>
        <v>233</v>
      </c>
      <c r="P3" s="477"/>
      <c r="Q3" s="476"/>
      <c r="R3" s="476"/>
      <c r="S3" s="476"/>
    </row>
    <row r="4" spans="1:30" ht="18" customHeight="1">
      <c r="A4" s="10"/>
      <c r="G4" s="25" t="s">
        <v>6</v>
      </c>
      <c r="H4" s="394">
        <f>SUM(I4:L4)</f>
        <v>542</v>
      </c>
      <c r="I4" s="442">
        <f>SUMIFS($AC$8:$AC$99,$G$8:$G$99,Paramétrage!$D$6,Enseignements!$D$8:$D$99,"mixte")+SUMIFS($AC$8:$AC$99,$G$8:$G$99,Paramétrage!$D$7,Enseignements!$D$8:$D$99,"mixte")+SUMIFS($AC$8:$AC$99,$G$8:$G$99,Paramétrage!$D$8,Enseignements!$D$8:$D$99,"mixte")+SUMIFS($AC$8:$AC$99,$G$8:$G$99,Paramétrage!$D$10,Enseignements!$D$8:$D$99,"mixte")+SUMIFS($AC$8:$AC$99,$G$8:$G$99,Paramétrage!$D$11,Enseignements!$D$8:$D$99,"mixte")+SUMIFS($AC$8:$AC$99,$G$8:$G$99,Paramétrage!$D$16,Enseignements!$D$8:$D$99,"mixte")+SUMIFS($AC$8:$AC$99,$G$8:$G$99,Paramétrage!$D$17,Enseignements!$D$8:$D$99,"mixte")+SUMIFS($AC$8:$AC$99,$G$8:$G$99,Paramétrage!$D$19,Enseignements!$D$8:$D$99,"mixte")+SUMIFS($AC$8:$AC$99,$G$8:$G$99,Paramétrage!$D$23,Enseignements!$D$8:$D$99,"mixte")+SUMIFS($AC$8:$AC$99,$G$8:$G$99,Paramétrage!$D$24,Enseignements!$D$8:$D$99,"mixte")+SUMIFS($AC$8:$AC$99,$G$8:$G$99,Paramétrage!$D$26,Enseignements!$D$8:$D$99,"mixte")+SUMIFS($AC$8:$AC$99,$G$8:$G$99,Paramétrage!$D$27,Enseignements!$D$8:$D$99,"mixte")+SUMIFS($AC$8:$AC$99,$G$8:$G$99,Paramétrage!$D$6,Enseignements!$D$8:$D$99,"ALT")+SUMIFS($AC$8:$AC$99,$G$8:$G$99,Paramétrage!$D$7,Enseignements!$D$8:$D$99,"ALT")+SUMIFS($AC$8:$AC$99,$G$8:$G$99,Paramétrage!$D$8,Enseignements!$D$8:$D$99,"ALT")+SUMIFS($AC$8:$AC$99,$G$8:$G$99,Paramétrage!$D$10,Enseignements!$D$8:$D$99,"ALT")+SUMIFS($AC$8:$AC$99,$G$8:$G$99,Paramétrage!$D$11,Enseignements!$D$8:$D$99,"ALT")+SUMIFS($AC$8:$AC$99,$G$8:$G$99,Paramétrage!$D$16,Enseignements!$D$8:$D$99,"ALT")+SUMIFS($AC$8:$AC$99,$G$8:$G$99,Paramétrage!$D$17,Enseignements!$D$8:$D$99,"ALT")+SUMIFS($AC$8:$AC$99,$G$8:$G$99,Paramétrage!$D$19,Enseignements!$D$8:$D$99,"ALT")+SUMIFS($AC$8:$AC$99,$G$8:$G$99,Paramétrage!$D$23,Enseignements!$D$8:$D$99,"ALT")+SUMIFS($AC$8:$AC$99,$G$8:$G$99,Paramétrage!$D$24,Enseignements!$D$8:$D$99,"ALT")+SUMIFS($AC$8:$AC$99,$G$8:$G$99,Paramétrage!$D$26,Enseignements!$D$8:$D$99,"ALT")+SUMIFS($AC$8:$AC$99,$G$8:$G$99,Paramétrage!$D$27,Enseignements!$D$8:$D$99,"ALT")+SUMIFS($AC$8:$AC$99,$G$8:$G$99,Paramétrage!$D$13,Enseignements!$D$8:$D$99,"mixte")+SUMIFS($AC$8:$AC$99,$G$8:$G$99,Paramétrage!$D$13,Enseignements!$D$8:$D$99,"ALT")+SUMIFS($AC$8:$AC$99,$G$8:$G$99,Paramétrage!$D$14,Enseignements!$D$8:$D$99,"mixte")+SUMIFS($AC$8:$AC$99,$G$8:$G$99,Paramétrage!$D$14,Enseignements!$D$8:$D$99,"ALT")+SUMIFS($AC$8:$AC$99,$G$8:$G$99,Paramétrage!$D$20,Enseignements!$D$8:$D$99,"mixte")+SUMIFS($AC$8:$AC$99,$G$8:$G$99,Paramétrage!$D$20,Enseignements!$D$8:$D$99,"ALT")</f>
        <v>231</v>
      </c>
      <c r="J4" s="457">
        <f>SUMIF($G$8:$G$99,Paramétrage!$D$12,$AC$8:$AC$99)</f>
        <v>0</v>
      </c>
      <c r="K4" s="443">
        <f>SUMIFS($AC$8:$AC$99,$G$8:$G$99,Paramétrage!$D$15,Enseignements!$D$8:$D$99,"mixte")+SUMIFS($AC$8:$AC$99,$G$8:$G$99,Paramétrage!$D$15,Enseignements!$D$8:$D$99,"ALT")</f>
        <v>180</v>
      </c>
      <c r="L4" s="444">
        <f>SUMIFS($AC$8:$AC$99,$G$8:$G$99,Paramétrage!$D$18,Enseignements!$D$8:$D$99,"mixte")+SUMIFS($AC$8:$AC$99,$G$8:$G$99,Paramétrage!$D$21,Enseignements!$D$8:$D$99,"mixte")+SUMIFS($AC$8:$AC$99,$G$8:$G$99,Paramétrage!$D$22,Enseignements!$D$8:$D$99,"mixte")+SUMIFS($AC$8:$AC$99,$G$8:$G$99,Paramétrage!$D$25,Enseignements!$D$8:$D$99,"mixte")+SUMIFS($AC$8:$AC$99,$G$8:$G$99,Paramétrage!$D$18,Enseignements!$D$8:$D$99,"ALT")+SUMIFS($AC$8:$AC$99,$G$8:$G$99,Paramétrage!$D$21,Enseignements!$D$8:$D$99,"ALT")+SUMIFS($AC$8:$AC$99,$G$8:$G$99,Paramétrage!$D$22,Enseignements!$D$8:$D$99,"ALT")+SUMIFS($AC$8:$AC$99,$G$8:$G$99,Paramétrage!$D$25,Enseignements!$D$8:$D$99,"ALT")</f>
        <v>131</v>
      </c>
      <c r="M4" s="406"/>
      <c r="O4" s="476"/>
      <c r="P4" s="477"/>
      <c r="Q4" s="476"/>
      <c r="R4" s="476"/>
      <c r="S4" s="476"/>
      <c r="W4" s="398"/>
    </row>
    <row r="5" spans="1:30" ht="6.6" customHeight="1" thickBot="1">
      <c r="A5" s="10"/>
      <c r="B5" s="10"/>
    </row>
    <row r="6" spans="1:30" ht="68.45" customHeight="1">
      <c r="A6" s="12"/>
      <c r="B6" s="494" t="s">
        <v>7</v>
      </c>
      <c r="C6" s="498" t="s">
        <v>8</v>
      </c>
      <c r="D6" s="498" t="s">
        <v>9</v>
      </c>
      <c r="E6" s="500" t="s">
        <v>10</v>
      </c>
      <c r="F6" s="498" t="s">
        <v>11</v>
      </c>
      <c r="G6" s="502" t="s">
        <v>12</v>
      </c>
      <c r="H6" s="502" t="s">
        <v>13</v>
      </c>
      <c r="I6" s="500" t="s">
        <v>14</v>
      </c>
      <c r="J6" s="504" t="s">
        <v>15</v>
      </c>
      <c r="K6" s="496" t="s">
        <v>16</v>
      </c>
      <c r="L6" s="489" t="s">
        <v>17</v>
      </c>
      <c r="M6" s="489"/>
      <c r="N6" s="489"/>
      <c r="O6" s="490"/>
      <c r="P6" s="42" t="s">
        <v>18</v>
      </c>
      <c r="Q6" s="42" t="s">
        <v>19</v>
      </c>
      <c r="R6" s="13" t="s">
        <v>20</v>
      </c>
      <c r="S6" s="13" t="s">
        <v>21</v>
      </c>
      <c r="T6" s="65" t="s">
        <v>22</v>
      </c>
      <c r="U6" s="358" t="s">
        <v>23</v>
      </c>
      <c r="V6" s="359" t="s">
        <v>24</v>
      </c>
      <c r="W6" s="359" t="s">
        <v>25</v>
      </c>
      <c r="X6" s="359" t="s">
        <v>26</v>
      </c>
      <c r="Y6" s="360" t="s">
        <v>27</v>
      </c>
      <c r="Z6" s="488" t="s">
        <v>28</v>
      </c>
      <c r="AA6" s="489"/>
      <c r="AB6" s="490"/>
      <c r="AC6" s="509" t="s">
        <v>29</v>
      </c>
      <c r="AD6" s="490" t="s">
        <v>30</v>
      </c>
    </row>
    <row r="7" spans="1:30" ht="16.149999999999999" thickBot="1">
      <c r="A7" s="12"/>
      <c r="B7" s="495"/>
      <c r="C7" s="499"/>
      <c r="D7" s="499"/>
      <c r="E7" s="501"/>
      <c r="F7" s="499"/>
      <c r="G7" s="503"/>
      <c r="H7" s="503"/>
      <c r="I7" s="501"/>
      <c r="J7" s="505"/>
      <c r="K7" s="497"/>
      <c r="L7" s="492"/>
      <c r="M7" s="492"/>
      <c r="N7" s="492"/>
      <c r="O7" s="493"/>
      <c r="P7" s="414"/>
      <c r="Q7" s="14">
        <f t="shared" ref="Q7:Y7" si="0">Q54+Q100</f>
        <v>271</v>
      </c>
      <c r="R7" s="14">
        <f t="shared" si="0"/>
        <v>77</v>
      </c>
      <c r="S7" s="14">
        <f t="shared" si="0"/>
        <v>348</v>
      </c>
      <c r="T7" s="392">
        <f t="shared" si="0"/>
        <v>335.76</v>
      </c>
      <c r="U7" s="393">
        <f t="shared" si="0"/>
        <v>178</v>
      </c>
      <c r="V7" s="14">
        <f t="shared" si="0"/>
        <v>39</v>
      </c>
      <c r="W7" s="14">
        <f t="shared" si="0"/>
        <v>131</v>
      </c>
      <c r="X7" s="14">
        <f t="shared" si="0"/>
        <v>0</v>
      </c>
      <c r="Y7" s="14">
        <f t="shared" si="0"/>
        <v>348</v>
      </c>
      <c r="Z7" s="491"/>
      <c r="AA7" s="492"/>
      <c r="AB7" s="493"/>
      <c r="AC7" s="510"/>
      <c r="AD7" s="493"/>
    </row>
    <row r="8" spans="1:30" ht="15.6" customHeight="1">
      <c r="A8" s="506" t="s">
        <v>31</v>
      </c>
      <c r="B8" s="422" t="s">
        <v>32</v>
      </c>
      <c r="C8" s="420" t="s">
        <v>33</v>
      </c>
      <c r="D8" s="400" t="s">
        <v>34</v>
      </c>
      <c r="E8" s="423" t="s">
        <v>35</v>
      </c>
      <c r="F8" s="424">
        <v>1</v>
      </c>
      <c r="G8" s="441" t="s">
        <v>36</v>
      </c>
      <c r="H8" s="447">
        <v>14</v>
      </c>
      <c r="I8" s="426">
        <f>+'Recettes et simulat'!$E$6</f>
        <v>24</v>
      </c>
      <c r="J8" s="427">
        <v>250</v>
      </c>
      <c r="K8" s="49" t="s">
        <v>37</v>
      </c>
      <c r="L8" s="511" t="s">
        <v>38</v>
      </c>
      <c r="M8" s="483"/>
      <c r="N8" s="483"/>
      <c r="O8" s="484"/>
      <c r="P8" s="361">
        <f>IF(OR(J8="",G8=Paramétrage!$D$9,G8=Paramétrage!$D$12,G8=Paramétrage!$D$15,G8=Paramétrage!$D$18,G8=Paramétrage!$D$22,G8=Paramétrage!$D$25,AND(G8&lt;&gt;Paramétrage!$D$9,K8="Mut+ext")),0,ROUNDUP(I8/J8,0))</f>
        <v>0</v>
      </c>
      <c r="Q8" s="17">
        <f>IF(OR(G8="",K8="Mut+ext"),0,IF(VLOOKUP(G8,Paramétrage!$D$6:$F$27,3,0)=0,0,IF(J8="","saisir capacité",H8*P8*VLOOKUP(G8,Paramétrage!$D$6:$F$27,2,0))))</f>
        <v>0</v>
      </c>
      <c r="R8" s="54"/>
      <c r="S8" s="15">
        <f>IF(OR(G8="",K8="Mut+ext"),0,IF(ISERROR(Q8+R8)=TRUE,Q8,Q8+R8))</f>
        <v>0</v>
      </c>
      <c r="T8" s="55">
        <f>IF(G8="",0,IF(ISERROR(R8+Q8*VLOOKUP(G8,Paramétrage!$D$6:$F$27,3,0))=TRUE,S8,R8+Q8*VLOOKUP(G8,Paramétrage!$D$6:$F$27,3,0)))</f>
        <v>0</v>
      </c>
      <c r="U8" s="37">
        <f>+$S8</f>
        <v>0</v>
      </c>
      <c r="V8" s="37"/>
      <c r="W8" s="37"/>
      <c r="X8" s="37"/>
      <c r="Y8" s="362">
        <f>SUM(U8:X8)</f>
        <v>0</v>
      </c>
      <c r="Z8" s="482"/>
      <c r="AA8" s="483"/>
      <c r="AB8" s="484"/>
      <c r="AC8" s="56">
        <f>IF(B8="",0,IF(E8="",0,IF(SUMIF($B$8:$B$53,B8,$I$8:$I$53)=0,0,IF(E8="Obligatoire",AD8/I8,IF(F8="",AD8/SUMIF($B$8:$B$53,B8,$I$8:$I$53),AD8/(SUMIF($B$8:$B$53,B8,$I$8:$I$53)/F8))))))</f>
        <v>14</v>
      </c>
      <c r="AD8" s="57">
        <f>H8*I8</f>
        <v>336</v>
      </c>
    </row>
    <row r="9" spans="1:30">
      <c r="A9" s="507"/>
      <c r="B9" s="422" t="s">
        <v>39</v>
      </c>
      <c r="C9" s="421" t="s">
        <v>40</v>
      </c>
      <c r="D9" s="32" t="s">
        <v>34</v>
      </c>
      <c r="E9" s="423" t="s">
        <v>35</v>
      </c>
      <c r="F9" s="424">
        <v>1</v>
      </c>
      <c r="G9" s="441" t="s">
        <v>36</v>
      </c>
      <c r="H9" s="448">
        <v>4</v>
      </c>
      <c r="I9" s="426">
        <f>+'Recettes et simulat'!$E$6</f>
        <v>24</v>
      </c>
      <c r="J9" s="427">
        <v>250</v>
      </c>
      <c r="K9" s="34" t="s">
        <v>37</v>
      </c>
      <c r="L9" s="486" t="s">
        <v>38</v>
      </c>
      <c r="M9" s="486"/>
      <c r="N9" s="486"/>
      <c r="O9" s="487"/>
      <c r="P9" s="361">
        <f>IF(OR(J9="",G9=Paramétrage!$D$9,G9=Paramétrage!$D$12,G9=Paramétrage!$D$15,G9=Paramétrage!$D$18,G9=Paramétrage!$D$22,G9=Paramétrage!$D$25,AND(G9&lt;&gt;Paramétrage!$D$9,K9="Mut+ext")),0,ROUNDUP(I9/J9,0))</f>
        <v>0</v>
      </c>
      <c r="Q9" s="17">
        <f>IF(OR(G9="",K9="Mut+ext"),0,IF(VLOOKUP(G9,Paramétrage!$D$6:$F$27,3,0)=0,0,IF(J9="","saisir capacité",H9*P9*VLOOKUP(G9,Paramétrage!$D$6:$F$27,2,0))))</f>
        <v>0</v>
      </c>
      <c r="R9" s="33"/>
      <c r="S9" s="15">
        <f t="shared" ref="S9:S81" si="1">IF(OR(G9="",K9="Mut+ext"),0,IF(ISERROR(Q9+R9)=TRUE,Q9,Q9+R9))</f>
        <v>0</v>
      </c>
      <c r="T9" s="28">
        <f>IF(G9="",0,IF(ISERROR(R9+Q9*VLOOKUP(G9,Paramétrage!$D$6:$F$27,3,0))=TRUE,S9,R9+Q9*VLOOKUP(G9,Paramétrage!$D$6:$F$27,3,0)))</f>
        <v>0</v>
      </c>
      <c r="U9" s="37">
        <f t="shared" ref="U9:W22" si="2">+$S9</f>
        <v>0</v>
      </c>
      <c r="V9" s="37"/>
      <c r="W9" s="37"/>
      <c r="X9" s="37"/>
      <c r="Y9" s="362">
        <f t="shared" ref="Y9:Y33" si="3">SUM(U9:X9)</f>
        <v>0</v>
      </c>
      <c r="Z9" s="478"/>
      <c r="AA9" s="479"/>
      <c r="AB9" s="480"/>
      <c r="AC9" s="27">
        <f>IF(B9="",0,IF(E9="",0,IF(SUMIF($B$8:$B$53,B9,$I$8:$I$53)=0,0,IF(E9="Obligatoire",AD9/I9,IF(F9="",AD9/SUMIF($B$8:$B$53,B9,$I$8:$I$53),AD9/(SUMIF($B$8:$B$53,B9,$I$8:$I$53)/F9))))))</f>
        <v>4</v>
      </c>
      <c r="AD9" s="16">
        <f>H9*I9</f>
        <v>96</v>
      </c>
    </row>
    <row r="10" spans="1:30">
      <c r="A10" s="507"/>
      <c r="B10" s="422" t="s">
        <v>41</v>
      </c>
      <c r="C10" s="421" t="s">
        <v>42</v>
      </c>
      <c r="D10" s="32" t="s">
        <v>34</v>
      </c>
      <c r="E10" s="423" t="s">
        <v>35</v>
      </c>
      <c r="F10" s="424">
        <v>1</v>
      </c>
      <c r="G10" s="451" t="s">
        <v>43</v>
      </c>
      <c r="H10" s="452">
        <v>50</v>
      </c>
      <c r="I10" s="426">
        <f>+'Recettes et simulat'!$E$6</f>
        <v>24</v>
      </c>
      <c r="J10" s="427">
        <v>24</v>
      </c>
      <c r="K10" s="34"/>
      <c r="L10" s="479"/>
      <c r="M10" s="479"/>
      <c r="N10" s="479"/>
      <c r="O10" s="480"/>
      <c r="P10" s="361">
        <f>IF(OR(J10="",G10=Paramétrage!$D$9,G10=Paramétrage!$D$12,G10=Paramétrage!$D$15,G10=Paramétrage!$D$18,G10=Paramétrage!$D$22,G10=Paramétrage!$D$25,AND(G10&lt;&gt;Paramétrage!$D$9,K10="Mut+ext")),0,ROUNDUP(I10/J10,0))</f>
        <v>0</v>
      </c>
      <c r="Q10" s="17">
        <f>IF(OR(G10="",K10="Mut+ext"),0,IF(VLOOKUP(G10,Paramétrage!$D$6:$F$27,3,0)=0,0,IF(J10="","saisir capacité",H10*P10*VLOOKUP(G10,Paramétrage!$D$6:$F$27,2,0))))</f>
        <v>0</v>
      </c>
      <c r="R10" s="33"/>
      <c r="S10" s="15">
        <f t="shared" si="1"/>
        <v>0</v>
      </c>
      <c r="T10" s="28">
        <f>IF(G10="",0,IF(ISERROR(R10+Q10*VLOOKUP(G10,Paramétrage!$D$6:$F$27,3,0))=TRUE,S10,R10+Q10*VLOOKUP(G10,Paramétrage!$D$6:$F$27,3,0)))</f>
        <v>0</v>
      </c>
      <c r="U10" s="37">
        <f t="shared" si="2"/>
        <v>0</v>
      </c>
      <c r="V10" s="37"/>
      <c r="W10" s="37"/>
      <c r="X10" s="37"/>
      <c r="Y10" s="362">
        <f t="shared" si="3"/>
        <v>0</v>
      </c>
      <c r="Z10" s="478"/>
      <c r="AA10" s="479"/>
      <c r="AB10" s="480"/>
      <c r="AC10" s="27">
        <f>IF(B10="",0,IF(E10="",0,IF(SUMIF($B$8:$B$53,B10,$I$8:$I$53)=0,0,IF(E10="Obligatoire",AD10/I10,IF(F10="",AD10/SUMIF($B$8:$B$53,B10,$I$8:$I$53),AD10/(SUMIF($B$8:$B$53,B10,$I$8:$I$53)/F10))))))</f>
        <v>50</v>
      </c>
      <c r="AD10" s="16">
        <f>H10*I10</f>
        <v>1200</v>
      </c>
    </row>
    <row r="11" spans="1:30">
      <c r="A11" s="507"/>
      <c r="B11" s="428" t="s">
        <v>44</v>
      </c>
      <c r="C11" s="472" t="s">
        <v>45</v>
      </c>
      <c r="D11" s="32" t="s">
        <v>34</v>
      </c>
      <c r="E11" s="473" t="s">
        <v>46</v>
      </c>
      <c r="F11" s="424">
        <v>3</v>
      </c>
      <c r="G11" s="441" t="s">
        <v>47</v>
      </c>
      <c r="H11" s="449">
        <v>12</v>
      </c>
      <c r="I11" s="426">
        <v>8</v>
      </c>
      <c r="J11" s="427">
        <v>8</v>
      </c>
      <c r="K11" s="34"/>
      <c r="L11" s="479"/>
      <c r="M11" s="479"/>
      <c r="N11" s="479"/>
      <c r="O11" s="480"/>
      <c r="P11" s="361">
        <f>IF(OR(J11="",G11=Paramétrage!$D$9,G11=Paramétrage!$D$12,G11=Paramétrage!$D$15,G11=Paramétrage!$D$18,G11=Paramétrage!$D$22,G11=Paramétrage!$D$25,AND(G11&lt;&gt;Paramétrage!$D$9,K11="Mut+ext")),0,ROUNDUP(I11/J11,0))</f>
        <v>1</v>
      </c>
      <c r="Q11" s="17">
        <f>IF(OR(G11="",K11="Mut+ext"),0,IF(VLOOKUP(G11,Paramétrage!$D$6:$F$27,3,0)=0,0,IF(J11="","saisir capacité",H11*P11*VLOOKUP(G11,Paramétrage!$D$6:$F$27,2,0))))</f>
        <v>12</v>
      </c>
      <c r="R11" s="33"/>
      <c r="S11" s="15">
        <f t="shared" si="1"/>
        <v>12</v>
      </c>
      <c r="T11" s="28">
        <f>IF(G11="",0,IF(ISERROR(R11+Q11*VLOOKUP(G11,Paramétrage!$D$6:$F$27,3,0))=TRUE,S11,R11+Q11*VLOOKUP(G11,Paramétrage!$D$6:$F$27,3,0)))</f>
        <v>7.92</v>
      </c>
      <c r="U11" s="37"/>
      <c r="V11" s="37"/>
      <c r="W11" s="37">
        <f t="shared" si="2"/>
        <v>12</v>
      </c>
      <c r="X11" s="37"/>
      <c r="Y11" s="362">
        <f t="shared" si="3"/>
        <v>12</v>
      </c>
      <c r="Z11" s="478"/>
      <c r="AA11" s="479"/>
      <c r="AB11" s="480"/>
      <c r="AC11" s="27">
        <f>IF(B11="",0,IF(E11="",0,IF(SUMIF($B$8:$B$53,B11,$I$8:$I$53)=0,0,IF(E11="Obligatoire",AD11/I11,IF(F11="",AD11/SUMIF($B$8:$B$53,B11,$I$8:$I$53),AD11/(SUMIF($B$8:$B$53,B11,$I$8:$I$53)/F11))))))</f>
        <v>4</v>
      </c>
      <c r="AD11" s="16">
        <f>H11*I11</f>
        <v>96</v>
      </c>
    </row>
    <row r="12" spans="1:30">
      <c r="A12" s="507"/>
      <c r="B12" s="428" t="s">
        <v>44</v>
      </c>
      <c r="C12" s="472" t="s">
        <v>45</v>
      </c>
      <c r="D12" s="32" t="s">
        <v>34</v>
      </c>
      <c r="E12" s="473" t="s">
        <v>46</v>
      </c>
      <c r="F12" s="424">
        <v>3</v>
      </c>
      <c r="G12" s="445" t="s">
        <v>48</v>
      </c>
      <c r="H12" s="446">
        <f>70-24</f>
        <v>46</v>
      </c>
      <c r="I12" s="426">
        <v>8</v>
      </c>
      <c r="J12" s="427">
        <v>8</v>
      </c>
      <c r="K12" s="34"/>
      <c r="L12" s="479"/>
      <c r="M12" s="479"/>
      <c r="N12" s="479"/>
      <c r="O12" s="480"/>
      <c r="P12" s="361">
        <f>IF(OR(J12="",G12=Paramétrage!$D$9,G12=Paramétrage!$D$12,G12=Paramétrage!$D$15,G12=Paramétrage!$D$18,G12=Paramétrage!$D$22,G12=Paramétrage!$D$25,AND(G12&lt;&gt;Paramétrage!$D$9,K12="Mut+ext")),0,ROUNDUP(I12/J12,0))</f>
        <v>0</v>
      </c>
      <c r="Q12" s="17">
        <f>IF(OR(G12="",K12="Mut+ext"),0,IF(VLOOKUP(G12,Paramétrage!$D$6:$F$27,3,0)=0,0,IF(J12="","saisir capacité",H12*P12*VLOOKUP(G12,Paramétrage!$D$6:$F$27,2,0))))</f>
        <v>0</v>
      </c>
      <c r="R12" s="33"/>
      <c r="S12" s="15">
        <f t="shared" si="1"/>
        <v>0</v>
      </c>
      <c r="T12" s="28">
        <f>IF(G12="",0,IF(ISERROR(R12+Q12*VLOOKUP(G12,Paramétrage!$D$6:$F$27,3,0))=TRUE,S12,R12+Q12*VLOOKUP(G12,Paramétrage!$D$6:$F$27,3,0)))</f>
        <v>0</v>
      </c>
      <c r="U12" s="37">
        <f t="shared" si="2"/>
        <v>0</v>
      </c>
      <c r="V12" s="37"/>
      <c r="W12" s="37"/>
      <c r="X12" s="37"/>
      <c r="Y12" s="362">
        <f t="shared" si="3"/>
        <v>0</v>
      </c>
      <c r="Z12" s="478"/>
      <c r="AA12" s="479"/>
      <c r="AB12" s="480"/>
      <c r="AC12" s="27">
        <f>IF(B12="",0,IF(E12="",0,IF(SUMIF($B$8:$B$53,B12,$I$8:$I$53)=0,0,IF(E12="Obligatoire",AD12/I12,IF(F12="",AD12/SUMIF($B$8:$B$53,B12,$I$8:$I$53),AD12/(SUMIF($B$8:$B$53,B12,$I$8:$I$53)/F12))))))</f>
        <v>15.333333333333334</v>
      </c>
      <c r="AD12" s="16">
        <f t="shared" ref="AD12:AD29" si="4">H12*I12</f>
        <v>368</v>
      </c>
    </row>
    <row r="13" spans="1:30">
      <c r="A13" s="507"/>
      <c r="B13" s="428" t="s">
        <v>44</v>
      </c>
      <c r="C13" s="472" t="s">
        <v>45</v>
      </c>
      <c r="D13" s="32" t="s">
        <v>34</v>
      </c>
      <c r="E13" s="473" t="s">
        <v>46</v>
      </c>
      <c r="F13" s="424">
        <v>3</v>
      </c>
      <c r="G13" s="441" t="s">
        <v>49</v>
      </c>
      <c r="H13" s="449">
        <v>12</v>
      </c>
      <c r="I13" s="426">
        <v>8</v>
      </c>
      <c r="J13" s="427">
        <v>8</v>
      </c>
      <c r="K13" s="34"/>
      <c r="L13" s="479"/>
      <c r="M13" s="479"/>
      <c r="N13" s="479"/>
      <c r="O13" s="480"/>
      <c r="P13" s="361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12</v>
      </c>
      <c r="R13" s="33"/>
      <c r="S13" s="15">
        <f t="shared" si="1"/>
        <v>12</v>
      </c>
      <c r="T13" s="28">
        <f>IF(G13="",0,IF(ISERROR(R13+Q13*VLOOKUP(G13,Paramétrage!$D$6:$F$27,3,0))=TRUE,S13,R13+Q13*VLOOKUP(G13,Paramétrage!$D$6:$F$27,3,0)))</f>
        <v>12</v>
      </c>
      <c r="U13" s="37"/>
      <c r="V13" s="37"/>
      <c r="W13" s="37">
        <v>12</v>
      </c>
      <c r="X13" s="37"/>
      <c r="Y13" s="362">
        <f t="shared" si="3"/>
        <v>12</v>
      </c>
      <c r="Z13" s="478"/>
      <c r="AA13" s="479"/>
      <c r="AB13" s="480"/>
      <c r="AC13" s="27">
        <f t="shared" ref="AC13:AC26" si="5">IF(B13="",0,IF(E13="",0,IF(SUMIF($B$8:$B$53,B13,$I$8:$I$53)=0,0,IF(E13="Obligatoire",AD13/I13,IF(F13="",AD13/SUMIF($B$8:$B$53,B13,$I$8:$I$53),AD13/(SUMIF($B$8:$B$53,B13,$I$8:$I$53)/F13))))))</f>
        <v>4</v>
      </c>
      <c r="AD13" s="16">
        <f t="shared" ref="AD13:AD26" si="6">H13*I13</f>
        <v>96</v>
      </c>
    </row>
    <row r="14" spans="1:30">
      <c r="A14" s="507"/>
      <c r="B14" s="428" t="s">
        <v>44</v>
      </c>
      <c r="C14" s="472" t="s">
        <v>50</v>
      </c>
      <c r="D14" s="32" t="s">
        <v>34</v>
      </c>
      <c r="E14" s="473" t="s">
        <v>46</v>
      </c>
      <c r="F14" s="424">
        <v>3</v>
      </c>
      <c r="G14" s="441" t="s">
        <v>49</v>
      </c>
      <c r="H14" s="449">
        <v>18</v>
      </c>
      <c r="I14" s="426">
        <v>16</v>
      </c>
      <c r="J14" s="427">
        <v>16</v>
      </c>
      <c r="K14" s="34"/>
      <c r="L14" s="479"/>
      <c r="M14" s="479"/>
      <c r="N14" s="479"/>
      <c r="O14" s="480"/>
      <c r="P14" s="361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18</v>
      </c>
      <c r="R14" s="33"/>
      <c r="S14" s="15">
        <f t="shared" si="1"/>
        <v>18</v>
      </c>
      <c r="T14" s="28">
        <f>IF(G14="",0,IF(ISERROR(R14+Q14*VLOOKUP(G14,Paramétrage!$D$6:$F$27,3,0))=TRUE,S14,R14+Q14*VLOOKUP(G14,Paramétrage!$D$6:$F$27,3,0)))</f>
        <v>18</v>
      </c>
      <c r="U14" s="37"/>
      <c r="V14" s="37"/>
      <c r="W14" s="37">
        <v>18</v>
      </c>
      <c r="X14" s="37"/>
      <c r="Y14" s="362">
        <f t="shared" si="3"/>
        <v>18</v>
      </c>
      <c r="Z14" s="478"/>
      <c r="AA14" s="479"/>
      <c r="AB14" s="480"/>
      <c r="AC14" s="27">
        <f t="shared" si="5"/>
        <v>12</v>
      </c>
      <c r="AD14" s="16">
        <f t="shared" si="6"/>
        <v>288</v>
      </c>
    </row>
    <row r="15" spans="1:30">
      <c r="A15" s="507"/>
      <c r="B15" s="428" t="s">
        <v>44</v>
      </c>
      <c r="C15" s="472" t="s">
        <v>50</v>
      </c>
      <c r="D15" s="32" t="s">
        <v>34</v>
      </c>
      <c r="E15" s="473" t="s">
        <v>46</v>
      </c>
      <c r="F15" s="424">
        <v>3</v>
      </c>
      <c r="G15" s="441" t="s">
        <v>47</v>
      </c>
      <c r="H15" s="449">
        <v>12</v>
      </c>
      <c r="I15" s="426">
        <v>16</v>
      </c>
      <c r="J15" s="427">
        <v>16</v>
      </c>
      <c r="K15" s="34"/>
      <c r="L15" s="479"/>
      <c r="M15" s="479"/>
      <c r="N15" s="479"/>
      <c r="O15" s="480"/>
      <c r="P15" s="361">
        <f>IF(OR(J15="",G15=Paramétrage!$D$9,G15=Paramétrage!$D$12,G15=Paramétrage!$D$15,G15=Paramétrage!$D$18,G15=Paramétrage!$D$22,G15=Paramétrage!$D$25,AND(G15&lt;&gt;Paramétrage!$D$9,K15="Mut+ext")),0,ROUNDUP(I15/J15,0))</f>
        <v>1</v>
      </c>
      <c r="Q15" s="17">
        <f>IF(OR(G15="",K15="Mut+ext"),0,IF(VLOOKUP(G15,Paramétrage!$D$6:$F$27,3,0)=0,0,IF(J15="","saisir capacité",H15*P15*VLOOKUP(G15,Paramétrage!$D$6:$F$27,2,0))))</f>
        <v>12</v>
      </c>
      <c r="R15" s="33"/>
      <c r="S15" s="15">
        <f t="shared" si="1"/>
        <v>12</v>
      </c>
      <c r="T15" s="28">
        <f>IF(G15="",0,IF(ISERROR(R15+Q15*VLOOKUP(G15,Paramétrage!$D$6:$F$27,3,0))=TRUE,S15,R15+Q15*VLOOKUP(G15,Paramétrage!$D$6:$F$27,3,0)))</f>
        <v>7.92</v>
      </c>
      <c r="U15" s="37"/>
      <c r="V15" s="37"/>
      <c r="W15" s="37">
        <v>12</v>
      </c>
      <c r="X15" s="37"/>
      <c r="Y15" s="362">
        <f t="shared" si="3"/>
        <v>12</v>
      </c>
      <c r="Z15" s="478"/>
      <c r="AA15" s="479"/>
      <c r="AB15" s="480"/>
      <c r="AC15" s="27">
        <f t="shared" si="5"/>
        <v>8</v>
      </c>
      <c r="AD15" s="16">
        <f t="shared" si="6"/>
        <v>192</v>
      </c>
    </row>
    <row r="16" spans="1:30">
      <c r="A16" s="507"/>
      <c r="B16" s="428" t="s">
        <v>44</v>
      </c>
      <c r="C16" s="472" t="s">
        <v>50</v>
      </c>
      <c r="D16" s="32" t="s">
        <v>34</v>
      </c>
      <c r="E16" s="473" t="s">
        <v>46</v>
      </c>
      <c r="F16" s="424">
        <v>3</v>
      </c>
      <c r="G16" s="445" t="s">
        <v>48</v>
      </c>
      <c r="H16" s="446">
        <v>46</v>
      </c>
      <c r="I16" s="426">
        <v>16</v>
      </c>
      <c r="J16" s="427">
        <v>16</v>
      </c>
      <c r="K16" s="34"/>
      <c r="L16" s="479"/>
      <c r="M16" s="479"/>
      <c r="N16" s="479"/>
      <c r="O16" s="480"/>
      <c r="P16" s="361">
        <f>IF(OR(J16="",G16=Paramétrage!$D$9,G16=Paramétrage!$D$12,G16=Paramétrage!$D$15,G16=Paramétrage!$D$18,G16=Paramétrage!$D$22,G16=Paramétrage!$D$25,AND(G16&lt;&gt;Paramétrage!$D$9,K16="Mut+ext")),0,ROUNDUP(I16/J16,0))</f>
        <v>0</v>
      </c>
      <c r="Q16" s="17">
        <f>IF(OR(G16="",K16="Mut+ext"),0,IF(VLOOKUP(G16,Paramétrage!$D$6:$F$27,3,0)=0,0,IF(J16="","saisir capacité",H16*P16*VLOOKUP(G16,Paramétrage!$D$6:$F$27,2,0))))</f>
        <v>0</v>
      </c>
      <c r="R16" s="33"/>
      <c r="S16" s="15">
        <f t="shared" si="1"/>
        <v>0</v>
      </c>
      <c r="T16" s="28">
        <f>IF(G16="",0,IF(ISERROR(R16+Q16*VLOOKUP(G16,Paramétrage!$D$6:$F$27,3,0))=TRUE,S16,R16+Q16*VLOOKUP(G16,Paramétrage!$D$6:$F$27,3,0)))</f>
        <v>0</v>
      </c>
      <c r="U16" s="37"/>
      <c r="V16" s="37"/>
      <c r="W16" s="37"/>
      <c r="X16" s="37"/>
      <c r="Y16" s="362">
        <f t="shared" si="3"/>
        <v>0</v>
      </c>
      <c r="Z16" s="478"/>
      <c r="AA16" s="479"/>
      <c r="AB16" s="480"/>
      <c r="AC16" s="27">
        <f t="shared" si="5"/>
        <v>30.666666666666668</v>
      </c>
      <c r="AD16" s="16">
        <f t="shared" si="6"/>
        <v>736</v>
      </c>
    </row>
    <row r="17" spans="1:30">
      <c r="A17" s="507"/>
      <c r="B17" s="428" t="s">
        <v>51</v>
      </c>
      <c r="C17" s="429" t="s">
        <v>52</v>
      </c>
      <c r="D17" s="32" t="s">
        <v>34</v>
      </c>
      <c r="E17" s="423" t="s">
        <v>35</v>
      </c>
      <c r="F17" s="424">
        <v>1</v>
      </c>
      <c r="G17" s="441" t="s">
        <v>53</v>
      </c>
      <c r="H17" s="449">
        <v>10</v>
      </c>
      <c r="I17" s="426">
        <f>+'Recettes et simulat'!$E$6</f>
        <v>24</v>
      </c>
      <c r="J17" s="427">
        <v>8</v>
      </c>
      <c r="K17" s="34"/>
      <c r="L17" s="479"/>
      <c r="M17" s="479"/>
      <c r="N17" s="479"/>
      <c r="O17" s="480"/>
      <c r="P17" s="361">
        <f>IF(OR(J17="",G17=Paramétrage!$D$9,G17=Paramétrage!$D$12,G17=Paramétrage!$D$15,G17=Paramétrage!$D$18,G17=Paramétrage!$D$22,G17=Paramétrage!$D$25,AND(G17&lt;&gt;Paramétrage!$D$9,K17="Mut+ext")),0,ROUNDUP(I17/J17,0))</f>
        <v>3</v>
      </c>
      <c r="Q17" s="17">
        <f>IF(OR(G17="",K17="Mut+ext"),0,IF(VLOOKUP(G17,Paramétrage!$D$6:$F$27,3,0)=0,0,IF(J17="","saisir capacité",H17*P17*VLOOKUP(G17,Paramétrage!$D$6:$F$27,2,0))))</f>
        <v>30</v>
      </c>
      <c r="R17" s="33"/>
      <c r="S17" s="15">
        <f t="shared" si="1"/>
        <v>30</v>
      </c>
      <c r="T17" s="28">
        <f>IF(G17="",0,IF(ISERROR(R17+Q17*VLOOKUP(G17,Paramétrage!$D$6:$F$27,3,0))=TRUE,S17,R17+Q17*VLOOKUP(G17,Paramétrage!$D$6:$F$27,3,0)))</f>
        <v>30</v>
      </c>
      <c r="U17" s="37"/>
      <c r="V17" s="37"/>
      <c r="W17" s="37">
        <f t="shared" si="2"/>
        <v>30</v>
      </c>
      <c r="X17" s="37"/>
      <c r="Y17" s="362">
        <f t="shared" si="3"/>
        <v>30</v>
      </c>
      <c r="Z17" s="478"/>
      <c r="AA17" s="479"/>
      <c r="AB17" s="480"/>
      <c r="AC17" s="27">
        <f t="shared" si="5"/>
        <v>10</v>
      </c>
      <c r="AD17" s="16">
        <f t="shared" si="6"/>
        <v>240</v>
      </c>
    </row>
    <row r="18" spans="1:30">
      <c r="A18" s="507"/>
      <c r="B18" s="428" t="s">
        <v>51</v>
      </c>
      <c r="C18" s="465" t="s">
        <v>54</v>
      </c>
      <c r="D18" s="32" t="s">
        <v>55</v>
      </c>
      <c r="E18" s="423" t="s">
        <v>35</v>
      </c>
      <c r="F18" s="424">
        <v>1</v>
      </c>
      <c r="G18" s="445" t="s">
        <v>48</v>
      </c>
      <c r="H18" s="446">
        <v>20</v>
      </c>
      <c r="I18" s="437">
        <f>+'Recettes et simulat'!$E$7</f>
        <v>7</v>
      </c>
      <c r="J18" s="427">
        <v>24</v>
      </c>
      <c r="K18" s="34"/>
      <c r="L18" s="479"/>
      <c r="M18" s="479"/>
      <c r="N18" s="479"/>
      <c r="O18" s="480"/>
      <c r="P18" s="361">
        <f>IF(OR(J18="",G18=Paramétrage!$D$9,G18=Paramétrage!$D$12,G18=Paramétrage!$D$15,G18=Paramétrage!$D$18,G18=Paramétrage!$D$22,G18=Paramétrage!$D$25,AND(G18&lt;&gt;Paramétrage!$D$9,K18="Mut+ext")),0,ROUNDUP(I18/J18,0))</f>
        <v>0</v>
      </c>
      <c r="Q18" s="17">
        <f>IF(OR(G18="",K18="Mut+ext"),0,IF(VLOOKUP(G18,Paramétrage!$D$6:$F$27,3,0)=0,0,IF(J18="","saisir capacité",H18*P18*VLOOKUP(G18,Paramétrage!$D$6:$F$27,2,0))))</f>
        <v>0</v>
      </c>
      <c r="R18" s="33"/>
      <c r="S18" s="15">
        <f t="shared" si="1"/>
        <v>0</v>
      </c>
      <c r="T18" s="28">
        <f>IF(G18="",0,IF(ISERROR(R18+Q18*VLOOKUP(G18,Paramétrage!$D$6:$F$27,3,0))=TRUE,S18,R18+Q18*VLOOKUP(G18,Paramétrage!$D$6:$F$27,3,0)))</f>
        <v>0</v>
      </c>
      <c r="U18" s="37">
        <f t="shared" si="2"/>
        <v>0</v>
      </c>
      <c r="V18" s="37"/>
      <c r="W18" s="37"/>
      <c r="X18" s="37"/>
      <c r="Y18" s="362">
        <f t="shared" si="3"/>
        <v>0</v>
      </c>
      <c r="Z18" s="478"/>
      <c r="AA18" s="479"/>
      <c r="AB18" s="480"/>
      <c r="AC18" s="27">
        <f t="shared" si="5"/>
        <v>20</v>
      </c>
      <c r="AD18" s="16">
        <f t="shared" si="6"/>
        <v>140</v>
      </c>
    </row>
    <row r="19" spans="1:30">
      <c r="A19" s="507"/>
      <c r="B19" s="428" t="s">
        <v>51</v>
      </c>
      <c r="C19" s="465" t="s">
        <v>56</v>
      </c>
      <c r="D19" s="32" t="s">
        <v>57</v>
      </c>
      <c r="E19" s="423" t="s">
        <v>35</v>
      </c>
      <c r="F19" s="424">
        <v>1</v>
      </c>
      <c r="G19" s="459" t="s">
        <v>48</v>
      </c>
      <c r="H19" s="460">
        <v>100</v>
      </c>
      <c r="I19" s="426">
        <f>+'Recettes et simulat'!$E$6-'Recettes et simulat'!$E$7</f>
        <v>17</v>
      </c>
      <c r="J19" s="427">
        <v>8</v>
      </c>
      <c r="K19" s="34"/>
      <c r="L19" s="479"/>
      <c r="M19" s="479"/>
      <c r="N19" s="479"/>
      <c r="O19" s="480"/>
      <c r="P19" s="361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7">
        <f>IF(OR(G19="",K19="Mut+ext"),0,IF(VLOOKUP(G19,Paramétrage!$D$6:$F$27,3,0)=0,0,IF(J19="","saisir capacité",H19*P19*VLOOKUP(G19,Paramétrage!$D$6:$F$27,2,0))))</f>
        <v>0</v>
      </c>
      <c r="R19" s="33"/>
      <c r="S19" s="15">
        <f t="shared" si="1"/>
        <v>0</v>
      </c>
      <c r="T19" s="28">
        <f>IF(G19="",0,IF(ISERROR(R19+Q19*VLOOKUP(G19,Paramétrage!$D$6:$F$27,3,0))=TRUE,S19,R19+Q19*VLOOKUP(G19,Paramétrage!$D$6:$F$27,3,0)))</f>
        <v>0</v>
      </c>
      <c r="U19" s="37">
        <f t="shared" si="2"/>
        <v>0</v>
      </c>
      <c r="V19" s="37"/>
      <c r="W19" s="37"/>
      <c r="X19" s="37"/>
      <c r="Y19" s="362">
        <f t="shared" si="3"/>
        <v>0</v>
      </c>
      <c r="Z19" s="478"/>
      <c r="AA19" s="479"/>
      <c r="AB19" s="480"/>
      <c r="AC19" s="27">
        <f t="shared" si="5"/>
        <v>100</v>
      </c>
      <c r="AD19" s="16">
        <f t="shared" si="6"/>
        <v>1700</v>
      </c>
    </row>
    <row r="20" spans="1:30">
      <c r="A20" s="507"/>
      <c r="B20" s="428" t="s">
        <v>58</v>
      </c>
      <c r="C20" s="429" t="s">
        <v>59</v>
      </c>
      <c r="D20" s="32" t="s">
        <v>34</v>
      </c>
      <c r="E20" s="423" t="s">
        <v>35</v>
      </c>
      <c r="F20" s="424">
        <v>1</v>
      </c>
      <c r="G20" s="441" t="s">
        <v>49</v>
      </c>
      <c r="H20" s="449">
        <v>18</v>
      </c>
      <c r="I20" s="426">
        <f>+'Recettes et simulat'!$E$6</f>
        <v>24</v>
      </c>
      <c r="J20" s="427">
        <v>24</v>
      </c>
      <c r="K20" s="34"/>
      <c r="L20" s="479"/>
      <c r="M20" s="479"/>
      <c r="N20" s="479"/>
      <c r="O20" s="480"/>
      <c r="P20" s="361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18</v>
      </c>
      <c r="R20" s="33"/>
      <c r="S20" s="15">
        <f t="shared" si="1"/>
        <v>18</v>
      </c>
      <c r="T20" s="28">
        <f>IF(G20="",0,IF(ISERROR(R20+Q20*VLOOKUP(G20,Paramétrage!$D$6:$F$27,3,0))=TRUE,S20,R20+Q20*VLOOKUP(G20,Paramétrage!$D$6:$F$27,3,0)))</f>
        <v>18</v>
      </c>
      <c r="U20" s="37">
        <f>+$S20/2</f>
        <v>9</v>
      </c>
      <c r="V20" s="37">
        <f>S20-U20</f>
        <v>9</v>
      </c>
      <c r="W20" s="37"/>
      <c r="X20" s="37"/>
      <c r="Y20" s="362">
        <f t="shared" si="3"/>
        <v>18</v>
      </c>
      <c r="Z20" s="478"/>
      <c r="AA20" s="479"/>
      <c r="AB20" s="480"/>
      <c r="AC20" s="27">
        <f t="shared" si="5"/>
        <v>18</v>
      </c>
      <c r="AD20" s="16">
        <f t="shared" si="6"/>
        <v>432</v>
      </c>
    </row>
    <row r="21" spans="1:30">
      <c r="A21" s="507"/>
      <c r="B21" s="428" t="s">
        <v>60</v>
      </c>
      <c r="C21" s="429" t="s">
        <v>61</v>
      </c>
      <c r="D21" s="32" t="s">
        <v>34</v>
      </c>
      <c r="E21" s="423" t="s">
        <v>35</v>
      </c>
      <c r="F21" s="424">
        <v>1</v>
      </c>
      <c r="G21" s="441" t="s">
        <v>49</v>
      </c>
      <c r="H21" s="449">
        <v>12</v>
      </c>
      <c r="I21" s="426">
        <f>+'Recettes et simulat'!$E$6</f>
        <v>24</v>
      </c>
      <c r="J21" s="427">
        <v>24</v>
      </c>
      <c r="K21" s="34"/>
      <c r="L21" s="479"/>
      <c r="M21" s="479"/>
      <c r="N21" s="479"/>
      <c r="O21" s="480"/>
      <c r="P21" s="361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12</v>
      </c>
      <c r="R21" s="33"/>
      <c r="S21" s="15">
        <f t="shared" si="1"/>
        <v>12</v>
      </c>
      <c r="T21" s="28">
        <f>IF(G21="",0,IF(ISERROR(R21+Q21*VLOOKUP(G21,Paramétrage!$D$6:$F$27,3,0))=TRUE,S21,R21+Q21*VLOOKUP(G21,Paramétrage!$D$6:$F$27,3,0)))</f>
        <v>12</v>
      </c>
      <c r="U21" s="37">
        <f t="shared" si="2"/>
        <v>12</v>
      </c>
      <c r="V21" s="37"/>
      <c r="W21" s="37"/>
      <c r="X21" s="37"/>
      <c r="Y21" s="362">
        <f t="shared" si="3"/>
        <v>12</v>
      </c>
      <c r="Z21" s="478"/>
      <c r="AA21" s="479"/>
      <c r="AB21" s="480"/>
      <c r="AC21" s="27">
        <f t="shared" si="5"/>
        <v>12</v>
      </c>
      <c r="AD21" s="16">
        <f t="shared" si="6"/>
        <v>288</v>
      </c>
    </row>
    <row r="22" spans="1:30">
      <c r="A22" s="507"/>
      <c r="B22" s="428" t="s">
        <v>62</v>
      </c>
      <c r="C22" s="429" t="s">
        <v>63</v>
      </c>
      <c r="D22" s="471" t="s">
        <v>57</v>
      </c>
      <c r="E22" s="423" t="s">
        <v>35</v>
      </c>
      <c r="F22" s="424">
        <v>1</v>
      </c>
      <c r="G22" s="425" t="s">
        <v>64</v>
      </c>
      <c r="H22" s="430">
        <v>300</v>
      </c>
      <c r="I22" s="426">
        <f>+'Recettes et simulat'!$E$6-'Recettes et simulat'!$E$7</f>
        <v>17</v>
      </c>
      <c r="J22" s="427">
        <v>24</v>
      </c>
      <c r="K22" s="34"/>
      <c r="L22" s="479"/>
      <c r="M22" s="479"/>
      <c r="N22" s="479"/>
      <c r="O22" s="480"/>
      <c r="P22" s="361">
        <f>IF(OR(J22="",G22=Paramétrage!$D$9,G22=Paramétrage!$D$12,G22=Paramétrage!$D$15,G22=Paramétrage!$D$18,G22=Paramétrage!$D$22,G22=Paramétrage!$D$25,AND(G22&lt;&gt;Paramétrage!$D$9,K22="Mut+ext")),0,ROUNDUP(I22/J22,0))</f>
        <v>0</v>
      </c>
      <c r="Q22" s="17">
        <f>IF(OR(G22="",K22="Mut+ext"),0,IF(VLOOKUP(G22,Paramétrage!$D$6:$F$27,3,0)=0,0,IF(J22="","saisir capacité",H22*P22*VLOOKUP(G22,Paramétrage!$D$6:$F$27,2,0))))</f>
        <v>0</v>
      </c>
      <c r="R22" s="33"/>
      <c r="S22" s="15">
        <f t="shared" si="1"/>
        <v>0</v>
      </c>
      <c r="T22" s="28">
        <f>IF(G22="",0,IF(ISERROR(R22+Q22*VLOOKUP(G22,Paramétrage!$D$6:$F$27,3,0))=TRUE,S22,R22+Q22*VLOOKUP(G22,Paramétrage!$D$6:$F$27,3,0)))</f>
        <v>0</v>
      </c>
      <c r="U22" s="37">
        <f t="shared" si="2"/>
        <v>0</v>
      </c>
      <c r="V22" s="37"/>
      <c r="W22" s="37"/>
      <c r="X22" s="37"/>
      <c r="Y22" s="362">
        <f t="shared" si="3"/>
        <v>0</v>
      </c>
      <c r="Z22" s="478"/>
      <c r="AA22" s="479"/>
      <c r="AB22" s="480"/>
      <c r="AC22" s="27">
        <f t="shared" si="5"/>
        <v>300</v>
      </c>
      <c r="AD22" s="16">
        <f t="shared" si="6"/>
        <v>5100</v>
      </c>
    </row>
    <row r="23" spans="1:30">
      <c r="A23" s="507"/>
      <c r="B23" s="428" t="s">
        <v>65</v>
      </c>
      <c r="C23" s="429" t="s">
        <v>66</v>
      </c>
      <c r="D23" s="32" t="s">
        <v>55</v>
      </c>
      <c r="E23" s="423" t="s">
        <v>35</v>
      </c>
      <c r="F23" s="424">
        <v>1</v>
      </c>
      <c r="G23" s="455" t="s">
        <v>67</v>
      </c>
      <c r="H23" s="456"/>
      <c r="I23" s="437">
        <f>+'Recettes et simulat'!$E$7</f>
        <v>7</v>
      </c>
      <c r="J23" s="438">
        <v>24</v>
      </c>
      <c r="K23" s="34"/>
      <c r="L23" s="479"/>
      <c r="M23" s="479"/>
      <c r="N23" s="479"/>
      <c r="O23" s="480"/>
      <c r="P23" s="361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17">
        <f>IF(OR(G23="",K23="Mut+ext"),0,IF(VLOOKUP(G23,Paramétrage!$D$6:$F$27,3,0)=0,0,IF(J23="","saisir capacité",H23*P23*VLOOKUP(G23,Paramétrage!$D$6:$F$27,2,0))))</f>
        <v>0</v>
      </c>
      <c r="R23" s="33">
        <f>3*I23</f>
        <v>21</v>
      </c>
      <c r="S23" s="15">
        <f t="shared" si="1"/>
        <v>21</v>
      </c>
      <c r="T23" s="28">
        <f>IF(G23="",0,IF(ISERROR(R23+Q23*VLOOKUP(G23,Paramétrage!$D$6:$F$27,3,0))=TRUE,S23,R23+Q23*VLOOKUP(G23,Paramétrage!$D$6:$F$27,3,0)))</f>
        <v>21</v>
      </c>
      <c r="U23" s="37">
        <v>12</v>
      </c>
      <c r="V23" s="37">
        <v>9</v>
      </c>
      <c r="W23" s="37"/>
      <c r="X23" s="37"/>
      <c r="Y23" s="362">
        <f t="shared" si="3"/>
        <v>21</v>
      </c>
      <c r="Z23" s="478"/>
      <c r="AA23" s="479"/>
      <c r="AB23" s="480"/>
      <c r="AC23" s="27">
        <f t="shared" si="5"/>
        <v>0</v>
      </c>
      <c r="AD23" s="16">
        <f t="shared" si="6"/>
        <v>0</v>
      </c>
    </row>
    <row r="24" spans="1:30">
      <c r="A24" s="507"/>
      <c r="B24" s="463" t="s">
        <v>58</v>
      </c>
      <c r="C24" s="465" t="s">
        <v>68</v>
      </c>
      <c r="D24" s="32" t="s">
        <v>34</v>
      </c>
      <c r="E24" s="464" t="s">
        <v>35</v>
      </c>
      <c r="F24" s="424">
        <v>1</v>
      </c>
      <c r="G24" s="441" t="s">
        <v>53</v>
      </c>
      <c r="H24" s="450">
        <v>12</v>
      </c>
      <c r="I24" s="437">
        <v>24</v>
      </c>
      <c r="J24" s="438">
        <v>24</v>
      </c>
      <c r="K24" s="34" t="s">
        <v>69</v>
      </c>
      <c r="L24" s="479" t="s">
        <v>70</v>
      </c>
      <c r="M24" s="479"/>
      <c r="N24" s="479"/>
      <c r="O24" s="480"/>
      <c r="P24" s="361">
        <f>IF(OR(J24="",G24=Paramétrage!$D$9,G24=Paramétrage!$D$12,G24=Paramétrage!$D$15,G24=Paramétrage!$D$18,G24=Paramétrage!$D$22,G24=Paramétrage!$D$25,AND(G24&lt;&gt;Paramétrage!$D$9,K24="Mut+ext")),0,ROUNDUP(I24/J24,0))</f>
        <v>1</v>
      </c>
      <c r="Q24" s="17">
        <f>IF(OR(G24="",K24="Mut+ext"),0,IF(VLOOKUP(G24,Paramétrage!$D$6:$F$27,3,0)=0,0,IF(J24="","saisir capacité",H24*P24*VLOOKUP(G24,Paramétrage!$D$6:$F$27,2,0))))</f>
        <v>12</v>
      </c>
      <c r="R24" s="33"/>
      <c r="S24" s="15">
        <f t="shared" ref="S24:S26" si="7">IF(OR(G24="",K24="Mut+ext"),0,IF(ISERROR(Q24+R24)=TRUE,Q24,Q24+R24))</f>
        <v>12</v>
      </c>
      <c r="T24" s="28">
        <f>IF(G24="",0,IF(ISERROR(R24+Q24*VLOOKUP(G24,Paramétrage!$D$6:$F$27,3,0))=TRUE,S24,R24+Q24*VLOOKUP(G24,Paramétrage!$D$6:$F$27,3,0)))</f>
        <v>12</v>
      </c>
      <c r="U24" s="408">
        <v>12</v>
      </c>
      <c r="V24" s="37"/>
      <c r="W24" s="37"/>
      <c r="X24" s="37"/>
      <c r="Y24" s="362">
        <f t="shared" ref="Y24:Y26" si="8">SUM(U24:X24)</f>
        <v>12</v>
      </c>
      <c r="Z24" s="478"/>
      <c r="AA24" s="479"/>
      <c r="AB24" s="480"/>
      <c r="AC24" s="27">
        <f t="shared" si="5"/>
        <v>12</v>
      </c>
      <c r="AD24" s="16">
        <f t="shared" si="6"/>
        <v>288</v>
      </c>
    </row>
    <row r="25" spans="1:30">
      <c r="A25" s="507"/>
      <c r="B25" s="463" t="s">
        <v>58</v>
      </c>
      <c r="C25" s="465" t="s">
        <v>68</v>
      </c>
      <c r="D25" s="32" t="s">
        <v>34</v>
      </c>
      <c r="E25" s="464" t="s">
        <v>35</v>
      </c>
      <c r="F25" s="424">
        <v>1</v>
      </c>
      <c r="G25" s="441" t="s">
        <v>53</v>
      </c>
      <c r="H25" s="450">
        <v>12</v>
      </c>
      <c r="I25" s="437">
        <v>24</v>
      </c>
      <c r="J25" s="438">
        <v>24</v>
      </c>
      <c r="K25" s="34" t="s">
        <v>37</v>
      </c>
      <c r="L25" s="479" t="s">
        <v>70</v>
      </c>
      <c r="M25" s="479"/>
      <c r="N25" s="479"/>
      <c r="O25" s="480"/>
      <c r="P25" s="361">
        <f>IF(OR(J25="",G25=Paramétrage!$D$9,G25=Paramétrage!$D$12,G25=Paramétrage!$D$15,G25=Paramétrage!$D$18,G25=Paramétrage!$D$22,G25=Paramétrage!$D$25,AND(G25&lt;&gt;Paramétrage!$D$9,K25="Mut+ext")),0,ROUNDUP(I25/J25,0))</f>
        <v>0</v>
      </c>
      <c r="Q25" s="17">
        <f>IF(OR(G25="",K25="Mut+ext"),0,IF(VLOOKUP(G25,Paramétrage!$D$6:$F$27,3,0)=0,0,IF(J25="","saisir capacité",H25*P25*VLOOKUP(G25,Paramétrage!$D$6:$F$27,2,0))))</f>
        <v>0</v>
      </c>
      <c r="R25" s="33"/>
      <c r="S25" s="15">
        <f t="shared" si="7"/>
        <v>0</v>
      </c>
      <c r="T25" s="28">
        <f>IF(G25="",0,IF(ISERROR(R25+Q25*VLOOKUP(G25,Paramétrage!$D$6:$F$27,3,0))=TRUE,S25,R25+Q25*VLOOKUP(G25,Paramétrage!$D$6:$F$27,3,0)))</f>
        <v>0</v>
      </c>
      <c r="U25" s="37"/>
      <c r="V25" s="37"/>
      <c r="W25" s="37"/>
      <c r="X25" s="37"/>
      <c r="Y25" s="362">
        <f t="shared" si="8"/>
        <v>0</v>
      </c>
      <c r="Z25" s="478"/>
      <c r="AA25" s="479"/>
      <c r="AB25" s="480"/>
      <c r="AC25" s="27">
        <f t="shared" si="5"/>
        <v>12</v>
      </c>
      <c r="AD25" s="16">
        <f t="shared" si="6"/>
        <v>288</v>
      </c>
    </row>
    <row r="26" spans="1:30">
      <c r="A26" s="507"/>
      <c r="B26" s="463" t="s">
        <v>58</v>
      </c>
      <c r="C26" s="465" t="s">
        <v>68</v>
      </c>
      <c r="D26" s="32" t="s">
        <v>34</v>
      </c>
      <c r="E26" s="464" t="s">
        <v>35</v>
      </c>
      <c r="F26" s="424">
        <v>1</v>
      </c>
      <c r="G26" s="445" t="s">
        <v>48</v>
      </c>
      <c r="H26" s="466">
        <v>18</v>
      </c>
      <c r="I26" s="437">
        <v>24</v>
      </c>
      <c r="J26" s="438">
        <v>24</v>
      </c>
      <c r="K26" s="34" t="s">
        <v>69</v>
      </c>
      <c r="L26" s="479" t="s">
        <v>70</v>
      </c>
      <c r="M26" s="479"/>
      <c r="N26" s="479"/>
      <c r="O26" s="480"/>
      <c r="P26" s="361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3"/>
      <c r="S26" s="15">
        <f t="shared" si="7"/>
        <v>0</v>
      </c>
      <c r="T26" s="28">
        <f>IF(G26="",0,IF(ISERROR(R26+Q26*VLOOKUP(G26,Paramétrage!$D$6:$F$27,3,0))=TRUE,S26,R26+Q26*VLOOKUP(G26,Paramétrage!$D$6:$F$27,3,0)))</f>
        <v>0</v>
      </c>
      <c r="U26" s="37"/>
      <c r="V26" s="37"/>
      <c r="W26" s="37"/>
      <c r="X26" s="37"/>
      <c r="Y26" s="362">
        <f t="shared" si="8"/>
        <v>0</v>
      </c>
      <c r="Z26" s="478"/>
      <c r="AA26" s="479"/>
      <c r="AB26" s="480"/>
      <c r="AC26" s="27">
        <f t="shared" si="5"/>
        <v>18</v>
      </c>
      <c r="AD26" s="16">
        <f t="shared" si="6"/>
        <v>432</v>
      </c>
    </row>
    <row r="27" spans="1:30">
      <c r="A27" s="507"/>
      <c r="B27" s="51"/>
      <c r="C27" s="29"/>
      <c r="D27" s="32"/>
      <c r="E27" s="48"/>
      <c r="F27" s="30"/>
      <c r="G27" s="31"/>
      <c r="H27" s="40"/>
      <c r="I27" s="381"/>
      <c r="J27" s="44"/>
      <c r="K27" s="34"/>
      <c r="L27" s="479"/>
      <c r="M27" s="479"/>
      <c r="N27" s="479"/>
      <c r="O27" s="480"/>
      <c r="P27" s="361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411"/>
      <c r="S27" s="15">
        <f t="shared" si="1"/>
        <v>0</v>
      </c>
      <c r="T27" s="28">
        <f>IF(G27="",0,IF(ISERROR(R27+Q27*VLOOKUP(G27,Paramétrage!$D$6:$F$27,3,0))=TRUE,S27,R27+Q27*VLOOKUP(G27,Paramétrage!$D$6:$F$27,3,0)))</f>
        <v>0</v>
      </c>
      <c r="U27" s="408"/>
      <c r="V27" s="408"/>
      <c r="W27" s="37"/>
      <c r="X27" s="37"/>
      <c r="Y27" s="362">
        <f t="shared" si="3"/>
        <v>0</v>
      </c>
      <c r="Z27" s="478"/>
      <c r="AA27" s="479"/>
      <c r="AB27" s="480"/>
      <c r="AC27" s="27">
        <f t="shared" ref="AC27:AC53" si="9">IF(B27="",0,IF(E27="",0,IF(SUMIF($B$8:$B$53,B27,$I$8:$I$53)=0,0,IF(E27="Obligatoire",AD27/I27,IF(F27="",AD27/SUMIF($B$8:$B$53,B27,$I$8:$I$53),AD27/(SUMIF($B$8:$B$53,B27,$I$8:$I$53)/F27))))))</f>
        <v>0</v>
      </c>
      <c r="AD27" s="16">
        <f t="shared" si="4"/>
        <v>0</v>
      </c>
    </row>
    <row r="28" spans="1:30" hidden="1">
      <c r="A28" s="507"/>
      <c r="B28" s="51"/>
      <c r="C28" s="29"/>
      <c r="D28" s="32"/>
      <c r="E28" s="48"/>
      <c r="F28" s="30"/>
      <c r="G28" s="31"/>
      <c r="H28" s="40"/>
      <c r="I28" s="381"/>
      <c r="J28" s="44"/>
      <c r="K28" s="34"/>
      <c r="L28" s="479"/>
      <c r="M28" s="479"/>
      <c r="N28" s="479"/>
      <c r="O28" s="480"/>
      <c r="P28" s="361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3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7"/>
      <c r="V28" s="37"/>
      <c r="W28" s="37"/>
      <c r="X28" s="37"/>
      <c r="Y28" s="362">
        <f t="shared" si="3"/>
        <v>0</v>
      </c>
      <c r="Z28" s="478"/>
      <c r="AA28" s="479"/>
      <c r="AB28" s="480"/>
      <c r="AC28" s="27">
        <f t="shared" si="9"/>
        <v>0</v>
      </c>
      <c r="AD28" s="16">
        <f t="shared" si="4"/>
        <v>0</v>
      </c>
    </row>
    <row r="29" spans="1:30" hidden="1">
      <c r="A29" s="507"/>
      <c r="B29" s="51"/>
      <c r="C29" s="29"/>
      <c r="D29" s="32"/>
      <c r="E29" s="48"/>
      <c r="F29" s="30"/>
      <c r="G29" s="31"/>
      <c r="H29" s="40"/>
      <c r="I29" s="37"/>
      <c r="J29" s="44"/>
      <c r="K29" s="34"/>
      <c r="L29" s="479"/>
      <c r="M29" s="479"/>
      <c r="N29" s="479"/>
      <c r="O29" s="480"/>
      <c r="P29" s="361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3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7"/>
      <c r="V29" s="37"/>
      <c r="W29" s="37"/>
      <c r="X29" s="37"/>
      <c r="Y29" s="362">
        <f t="shared" si="3"/>
        <v>0</v>
      </c>
      <c r="Z29" s="478"/>
      <c r="AA29" s="479"/>
      <c r="AB29" s="480"/>
      <c r="AC29" s="27">
        <f t="shared" si="9"/>
        <v>0</v>
      </c>
      <c r="AD29" s="16">
        <f t="shared" si="4"/>
        <v>0</v>
      </c>
    </row>
    <row r="30" spans="1:30" ht="15.6" hidden="1" customHeight="1">
      <c r="A30" s="507"/>
      <c r="B30" s="51"/>
      <c r="C30" s="32"/>
      <c r="D30" s="32"/>
      <c r="E30" s="48"/>
      <c r="F30" s="30"/>
      <c r="G30" s="31"/>
      <c r="H30" s="40"/>
      <c r="I30" s="37"/>
      <c r="J30" s="44"/>
      <c r="K30" s="34"/>
      <c r="L30" s="479"/>
      <c r="M30" s="479"/>
      <c r="N30" s="479"/>
      <c r="O30" s="480"/>
      <c r="P30" s="361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3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7"/>
      <c r="V30" s="37"/>
      <c r="W30" s="37"/>
      <c r="X30" s="37"/>
      <c r="Y30" s="362">
        <f t="shared" si="3"/>
        <v>0</v>
      </c>
      <c r="Z30" s="478"/>
      <c r="AA30" s="479"/>
      <c r="AB30" s="480"/>
      <c r="AC30" s="27">
        <f t="shared" si="9"/>
        <v>0</v>
      </c>
      <c r="AD30" s="16">
        <f t="shared" ref="AD30:AD35" si="10">H30*I30</f>
        <v>0</v>
      </c>
    </row>
    <row r="31" spans="1:30" hidden="1">
      <c r="A31" s="507"/>
      <c r="B31" s="51"/>
      <c r="C31" s="32"/>
      <c r="D31" s="32"/>
      <c r="E31" s="48"/>
      <c r="F31" s="30"/>
      <c r="G31" s="31"/>
      <c r="H31" s="40"/>
      <c r="I31" s="39"/>
      <c r="J31" s="44"/>
      <c r="K31" s="34"/>
      <c r="L31" s="479"/>
      <c r="M31" s="479"/>
      <c r="N31" s="479"/>
      <c r="O31" s="480"/>
      <c r="P31" s="361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3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7"/>
      <c r="V31" s="39"/>
      <c r="W31" s="39"/>
      <c r="X31" s="39"/>
      <c r="Y31" s="362">
        <f t="shared" si="3"/>
        <v>0</v>
      </c>
      <c r="Z31" s="478"/>
      <c r="AA31" s="479"/>
      <c r="AB31" s="480"/>
      <c r="AC31" s="27">
        <f t="shared" si="9"/>
        <v>0</v>
      </c>
      <c r="AD31" s="16">
        <f t="shared" si="10"/>
        <v>0</v>
      </c>
    </row>
    <row r="32" spans="1:30" hidden="1">
      <c r="A32" s="507"/>
      <c r="B32" s="51"/>
      <c r="C32" s="32"/>
      <c r="D32" s="32"/>
      <c r="E32" s="48"/>
      <c r="F32" s="30"/>
      <c r="G32" s="31"/>
      <c r="H32" s="40"/>
      <c r="I32" s="38"/>
      <c r="J32" s="44"/>
      <c r="K32" s="34"/>
      <c r="L32" s="479"/>
      <c r="M32" s="479"/>
      <c r="N32" s="479"/>
      <c r="O32" s="480"/>
      <c r="P32" s="361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3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7"/>
      <c r="V32" s="38"/>
      <c r="W32" s="38"/>
      <c r="X32" s="38"/>
      <c r="Y32" s="362">
        <f t="shared" si="3"/>
        <v>0</v>
      </c>
      <c r="Z32" s="478"/>
      <c r="AA32" s="479"/>
      <c r="AB32" s="480"/>
      <c r="AC32" s="27">
        <f t="shared" si="9"/>
        <v>0</v>
      </c>
      <c r="AD32" s="16">
        <f t="shared" si="10"/>
        <v>0</v>
      </c>
    </row>
    <row r="33" spans="1:30" ht="16.149999999999999" hidden="1" thickBot="1">
      <c r="A33" s="507"/>
      <c r="B33" s="51"/>
      <c r="C33" s="29"/>
      <c r="D33" s="29"/>
      <c r="E33" s="385"/>
      <c r="F33" s="30"/>
      <c r="G33" s="31"/>
      <c r="H33" s="386"/>
      <c r="I33" s="38"/>
      <c r="J33" s="44"/>
      <c r="K33" s="34"/>
      <c r="L33" s="479"/>
      <c r="M33" s="479"/>
      <c r="N33" s="479"/>
      <c r="O33" s="480"/>
      <c r="P33" s="361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81"/>
      <c r="S33" s="382">
        <f t="shared" si="1"/>
        <v>0</v>
      </c>
      <c r="T33" s="383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84">
        <f t="shared" si="3"/>
        <v>0</v>
      </c>
      <c r="Z33" s="478"/>
      <c r="AA33" s="479"/>
      <c r="AB33" s="480"/>
      <c r="AC33" s="27">
        <f t="shared" si="9"/>
        <v>0</v>
      </c>
      <c r="AD33" s="16">
        <f t="shared" si="10"/>
        <v>0</v>
      </c>
    </row>
    <row r="34" spans="1:30" ht="15.6" hidden="1" customHeight="1">
      <c r="A34" s="507"/>
      <c r="B34" s="373"/>
      <c r="C34" s="374"/>
      <c r="D34" s="401"/>
      <c r="E34" s="375"/>
      <c r="F34" s="376"/>
      <c r="G34" s="377"/>
      <c r="H34" s="378"/>
      <c r="I34" s="37"/>
      <c r="J34" s="379"/>
      <c r="K34" s="380"/>
      <c r="L34" s="486"/>
      <c r="M34" s="486"/>
      <c r="N34" s="486"/>
      <c r="O34" s="487"/>
      <c r="P34" s="371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72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7"/>
      <c r="V34" s="37"/>
      <c r="W34" s="37"/>
      <c r="X34" s="37"/>
      <c r="Y34" s="362">
        <f>SUM(U34:X34)</f>
        <v>0</v>
      </c>
      <c r="Z34" s="485"/>
      <c r="AA34" s="486"/>
      <c r="AB34" s="487"/>
      <c r="AC34" s="27">
        <f t="shared" si="9"/>
        <v>0</v>
      </c>
      <c r="AD34" s="57">
        <f t="shared" si="10"/>
        <v>0</v>
      </c>
    </row>
    <row r="35" spans="1:30" hidden="1">
      <c r="A35" s="507"/>
      <c r="B35" s="51"/>
      <c r="C35" s="29"/>
      <c r="D35" s="32"/>
      <c r="E35" s="48"/>
      <c r="F35" s="30"/>
      <c r="G35" s="31"/>
      <c r="H35" s="40"/>
      <c r="I35" s="37"/>
      <c r="J35" s="44"/>
      <c r="K35" s="34"/>
      <c r="L35" s="479"/>
      <c r="M35" s="479"/>
      <c r="N35" s="479"/>
      <c r="O35" s="480"/>
      <c r="P35" s="361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3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7"/>
      <c r="V35" s="37"/>
      <c r="W35" s="37"/>
      <c r="X35" s="37"/>
      <c r="Y35" s="362">
        <f t="shared" ref="Y35:Y53" si="11">SUM(U35:X35)</f>
        <v>0</v>
      </c>
      <c r="Z35" s="478"/>
      <c r="AA35" s="479"/>
      <c r="AB35" s="480"/>
      <c r="AC35" s="27">
        <f t="shared" si="9"/>
        <v>0</v>
      </c>
      <c r="AD35" s="16">
        <f t="shared" si="10"/>
        <v>0</v>
      </c>
    </row>
    <row r="36" spans="1:30" hidden="1">
      <c r="A36" s="507"/>
      <c r="B36" s="51"/>
      <c r="C36" s="29"/>
      <c r="D36" s="32"/>
      <c r="E36" s="48"/>
      <c r="F36" s="30"/>
      <c r="G36" s="31"/>
      <c r="H36" s="40"/>
      <c r="I36" s="37"/>
      <c r="J36" s="44"/>
      <c r="K36" s="34"/>
      <c r="L36" s="479"/>
      <c r="M36" s="479"/>
      <c r="N36" s="479"/>
      <c r="O36" s="480"/>
      <c r="P36" s="361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3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7"/>
      <c r="V36" s="37"/>
      <c r="W36" s="37"/>
      <c r="X36" s="37"/>
      <c r="Y36" s="362">
        <f t="shared" si="11"/>
        <v>0</v>
      </c>
      <c r="Z36" s="478"/>
      <c r="AA36" s="479"/>
      <c r="AB36" s="480"/>
      <c r="AC36" s="27">
        <f t="shared" si="9"/>
        <v>0</v>
      </c>
      <c r="AD36" s="16">
        <f t="shared" ref="AD36:AD47" si="12">H36*I36</f>
        <v>0</v>
      </c>
    </row>
    <row r="37" spans="1:30" hidden="1">
      <c r="A37" s="507"/>
      <c r="B37" s="51"/>
      <c r="C37" s="29"/>
      <c r="D37" s="32"/>
      <c r="E37" s="48"/>
      <c r="F37" s="30"/>
      <c r="G37" s="31"/>
      <c r="H37" s="40"/>
      <c r="I37" s="37"/>
      <c r="J37" s="44"/>
      <c r="K37" s="34"/>
      <c r="L37" s="479"/>
      <c r="M37" s="479"/>
      <c r="N37" s="479"/>
      <c r="O37" s="480"/>
      <c r="P37" s="361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3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7"/>
      <c r="V37" s="37"/>
      <c r="W37" s="37"/>
      <c r="X37" s="37"/>
      <c r="Y37" s="362">
        <f t="shared" si="11"/>
        <v>0</v>
      </c>
      <c r="Z37" s="478"/>
      <c r="AA37" s="479"/>
      <c r="AB37" s="480"/>
      <c r="AC37" s="27">
        <f t="shared" si="9"/>
        <v>0</v>
      </c>
      <c r="AD37" s="16">
        <f t="shared" ref="AD37:AD43" si="13">H37*I37</f>
        <v>0</v>
      </c>
    </row>
    <row r="38" spans="1:30" hidden="1">
      <c r="A38" s="507"/>
      <c r="B38" s="51"/>
      <c r="C38" s="29"/>
      <c r="D38" s="32"/>
      <c r="E38" s="48"/>
      <c r="F38" s="30"/>
      <c r="G38" s="31"/>
      <c r="H38" s="40"/>
      <c r="I38" s="37"/>
      <c r="J38" s="44"/>
      <c r="K38" s="34"/>
      <c r="L38" s="479"/>
      <c r="M38" s="479"/>
      <c r="N38" s="479"/>
      <c r="O38" s="480"/>
      <c r="P38" s="361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3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7"/>
      <c r="V38" s="37"/>
      <c r="W38" s="37"/>
      <c r="X38" s="37"/>
      <c r="Y38" s="362">
        <f t="shared" si="11"/>
        <v>0</v>
      </c>
      <c r="Z38" s="478"/>
      <c r="AA38" s="479"/>
      <c r="AB38" s="480"/>
      <c r="AC38" s="27">
        <f t="shared" si="9"/>
        <v>0</v>
      </c>
      <c r="AD38" s="16">
        <f t="shared" si="13"/>
        <v>0</v>
      </c>
    </row>
    <row r="39" spans="1:30" hidden="1">
      <c r="A39" s="507"/>
      <c r="B39" s="51"/>
      <c r="C39" s="29"/>
      <c r="D39" s="29"/>
      <c r="E39" s="48"/>
      <c r="F39" s="30"/>
      <c r="G39" s="31"/>
      <c r="H39" s="40"/>
      <c r="I39" s="37"/>
      <c r="J39" s="44"/>
      <c r="K39" s="34"/>
      <c r="L39" s="479"/>
      <c r="M39" s="479"/>
      <c r="N39" s="479"/>
      <c r="O39" s="480"/>
      <c r="P39" s="361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3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7"/>
      <c r="V39" s="37"/>
      <c r="W39" s="37"/>
      <c r="X39" s="37"/>
      <c r="Y39" s="362">
        <f t="shared" si="11"/>
        <v>0</v>
      </c>
      <c r="Z39" s="478"/>
      <c r="AA39" s="479"/>
      <c r="AB39" s="480"/>
      <c r="AC39" s="27">
        <f t="shared" si="9"/>
        <v>0</v>
      </c>
      <c r="AD39" s="16">
        <f t="shared" ref="AD39:AD40" si="14">H39*I39</f>
        <v>0</v>
      </c>
    </row>
    <row r="40" spans="1:30" hidden="1">
      <c r="A40" s="507"/>
      <c r="B40" s="51"/>
      <c r="C40" s="29"/>
      <c r="D40" s="48"/>
      <c r="E40" s="32"/>
      <c r="F40" s="30"/>
      <c r="G40" s="31"/>
      <c r="H40" s="40"/>
      <c r="I40" s="37"/>
      <c r="J40" s="44"/>
      <c r="K40" s="34"/>
      <c r="L40" s="479"/>
      <c r="M40" s="479"/>
      <c r="N40" s="479"/>
      <c r="O40" s="480"/>
      <c r="P40" s="361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3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7"/>
      <c r="V40" s="37"/>
      <c r="W40" s="37"/>
      <c r="X40" s="37"/>
      <c r="Y40" s="362">
        <f t="shared" si="11"/>
        <v>0</v>
      </c>
      <c r="Z40" s="478"/>
      <c r="AA40" s="479"/>
      <c r="AB40" s="480"/>
      <c r="AC40" s="27">
        <f t="shared" si="9"/>
        <v>0</v>
      </c>
      <c r="AD40" s="16">
        <f t="shared" si="14"/>
        <v>0</v>
      </c>
    </row>
    <row r="41" spans="1:30" hidden="1">
      <c r="A41" s="507"/>
      <c r="B41" s="51"/>
      <c r="C41" s="29"/>
      <c r="D41" s="48"/>
      <c r="E41" s="32"/>
      <c r="F41" s="30"/>
      <c r="G41" s="31"/>
      <c r="H41" s="40"/>
      <c r="I41" s="37"/>
      <c r="J41" s="44"/>
      <c r="K41" s="34"/>
      <c r="L41" s="479"/>
      <c r="M41" s="479"/>
      <c r="N41" s="479"/>
      <c r="O41" s="480"/>
      <c r="P41" s="361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3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7"/>
      <c r="V41" s="37"/>
      <c r="W41" s="37"/>
      <c r="X41" s="37"/>
      <c r="Y41" s="362">
        <f t="shared" si="11"/>
        <v>0</v>
      </c>
      <c r="Z41" s="478"/>
      <c r="AA41" s="479"/>
      <c r="AB41" s="480"/>
      <c r="AC41" s="27">
        <f t="shared" si="9"/>
        <v>0</v>
      </c>
      <c r="AD41" s="16">
        <f t="shared" si="13"/>
        <v>0</v>
      </c>
    </row>
    <row r="42" spans="1:30" hidden="1">
      <c r="A42" s="507"/>
      <c r="B42" s="51"/>
      <c r="C42" s="29"/>
      <c r="D42" s="48"/>
      <c r="E42" s="32"/>
      <c r="F42" s="30"/>
      <c r="G42" s="31"/>
      <c r="H42" s="40"/>
      <c r="I42" s="37"/>
      <c r="J42" s="44"/>
      <c r="K42" s="34"/>
      <c r="L42" s="479"/>
      <c r="M42" s="479"/>
      <c r="N42" s="479"/>
      <c r="O42" s="480"/>
      <c r="P42" s="361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3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7"/>
      <c r="V42" s="37"/>
      <c r="W42" s="37"/>
      <c r="X42" s="37"/>
      <c r="Y42" s="362">
        <f t="shared" si="11"/>
        <v>0</v>
      </c>
      <c r="Z42" s="478"/>
      <c r="AA42" s="479"/>
      <c r="AB42" s="480"/>
      <c r="AC42" s="27">
        <f t="shared" si="9"/>
        <v>0</v>
      </c>
      <c r="AD42" s="16">
        <f t="shared" si="13"/>
        <v>0</v>
      </c>
    </row>
    <row r="43" spans="1:30" hidden="1">
      <c r="A43" s="507"/>
      <c r="B43" s="51"/>
      <c r="C43" s="29"/>
      <c r="D43" s="48"/>
      <c r="E43" s="32"/>
      <c r="F43" s="30"/>
      <c r="G43" s="31"/>
      <c r="H43" s="40"/>
      <c r="I43" s="37"/>
      <c r="J43" s="44"/>
      <c r="K43" s="34"/>
      <c r="L43" s="479"/>
      <c r="M43" s="479"/>
      <c r="N43" s="479"/>
      <c r="O43" s="480"/>
      <c r="P43" s="361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3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7"/>
      <c r="V43" s="37"/>
      <c r="W43" s="37"/>
      <c r="X43" s="37"/>
      <c r="Y43" s="362">
        <f t="shared" si="11"/>
        <v>0</v>
      </c>
      <c r="Z43" s="478"/>
      <c r="AA43" s="479"/>
      <c r="AB43" s="480"/>
      <c r="AC43" s="27">
        <f t="shared" si="9"/>
        <v>0</v>
      </c>
      <c r="AD43" s="16">
        <f t="shared" si="13"/>
        <v>0</v>
      </c>
    </row>
    <row r="44" spans="1:30" hidden="1">
      <c r="A44" s="507"/>
      <c r="B44" s="51"/>
      <c r="C44" s="29"/>
      <c r="D44" s="48"/>
      <c r="E44" s="32"/>
      <c r="F44" s="30"/>
      <c r="G44" s="31"/>
      <c r="H44" s="40"/>
      <c r="I44" s="37"/>
      <c r="J44" s="44"/>
      <c r="K44" s="34"/>
      <c r="L44" s="479"/>
      <c r="M44" s="479"/>
      <c r="N44" s="479"/>
      <c r="O44" s="480"/>
      <c r="P44" s="361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3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7"/>
      <c r="V44" s="37"/>
      <c r="W44" s="37"/>
      <c r="X44" s="37"/>
      <c r="Y44" s="362">
        <f t="shared" si="11"/>
        <v>0</v>
      </c>
      <c r="Z44" s="478"/>
      <c r="AA44" s="479"/>
      <c r="AB44" s="480"/>
      <c r="AC44" s="27">
        <f t="shared" si="9"/>
        <v>0</v>
      </c>
      <c r="AD44" s="16">
        <f t="shared" si="12"/>
        <v>0</v>
      </c>
    </row>
    <row r="45" spans="1:30" hidden="1">
      <c r="A45" s="507"/>
      <c r="B45" s="51"/>
      <c r="C45" s="29"/>
      <c r="D45" s="48"/>
      <c r="E45" s="32"/>
      <c r="F45" s="30"/>
      <c r="G45" s="31"/>
      <c r="H45" s="40"/>
      <c r="I45" s="37"/>
      <c r="J45" s="44"/>
      <c r="K45" s="34"/>
      <c r="L45" s="479"/>
      <c r="M45" s="479"/>
      <c r="N45" s="479"/>
      <c r="O45" s="480"/>
      <c r="P45" s="361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3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37"/>
      <c r="V45" s="37"/>
      <c r="W45" s="37"/>
      <c r="X45" s="37"/>
      <c r="Y45" s="362">
        <f t="shared" si="11"/>
        <v>0</v>
      </c>
      <c r="Z45" s="478"/>
      <c r="AA45" s="479"/>
      <c r="AB45" s="480"/>
      <c r="AC45" s="27">
        <f t="shared" si="9"/>
        <v>0</v>
      </c>
      <c r="AD45" s="16">
        <f t="shared" si="12"/>
        <v>0</v>
      </c>
    </row>
    <row r="46" spans="1:30" hidden="1">
      <c r="A46" s="507"/>
      <c r="B46" s="51"/>
      <c r="C46" s="29"/>
      <c r="D46" s="48"/>
      <c r="E46" s="32"/>
      <c r="F46" s="30"/>
      <c r="G46" s="31"/>
      <c r="H46" s="40"/>
      <c r="I46" s="37"/>
      <c r="J46" s="44"/>
      <c r="K46" s="34"/>
      <c r="L46" s="479"/>
      <c r="M46" s="479"/>
      <c r="N46" s="479"/>
      <c r="O46" s="480"/>
      <c r="P46" s="361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3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7"/>
      <c r="V46" s="37"/>
      <c r="W46" s="37"/>
      <c r="X46" s="37"/>
      <c r="Y46" s="362">
        <f t="shared" si="11"/>
        <v>0</v>
      </c>
      <c r="Z46" s="478"/>
      <c r="AA46" s="479"/>
      <c r="AB46" s="480"/>
      <c r="AC46" s="27">
        <f t="shared" si="9"/>
        <v>0</v>
      </c>
      <c r="AD46" s="16">
        <f t="shared" si="12"/>
        <v>0</v>
      </c>
    </row>
    <row r="47" spans="1:30" hidden="1">
      <c r="A47" s="507"/>
      <c r="B47" s="51"/>
      <c r="C47" s="29"/>
      <c r="D47" s="48"/>
      <c r="E47" s="32"/>
      <c r="F47" s="30"/>
      <c r="G47" s="31"/>
      <c r="H47" s="40"/>
      <c r="I47" s="37"/>
      <c r="J47" s="44"/>
      <c r="K47" s="34"/>
      <c r="L47" s="479"/>
      <c r="M47" s="479"/>
      <c r="N47" s="479"/>
      <c r="O47" s="480"/>
      <c r="P47" s="361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3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7"/>
      <c r="V47" s="37"/>
      <c r="W47" s="37"/>
      <c r="X47" s="37"/>
      <c r="Y47" s="362">
        <f t="shared" si="11"/>
        <v>0</v>
      </c>
      <c r="Z47" s="478"/>
      <c r="AA47" s="479"/>
      <c r="AB47" s="480"/>
      <c r="AC47" s="27">
        <f t="shared" si="9"/>
        <v>0</v>
      </c>
      <c r="AD47" s="16">
        <f t="shared" si="12"/>
        <v>0</v>
      </c>
    </row>
    <row r="48" spans="1:30" hidden="1">
      <c r="A48" s="507"/>
      <c r="B48" s="51"/>
      <c r="C48" s="29"/>
      <c r="D48" s="48"/>
      <c r="E48" s="32"/>
      <c r="F48" s="30"/>
      <c r="G48" s="31"/>
      <c r="H48" s="40"/>
      <c r="I48" s="37"/>
      <c r="J48" s="44"/>
      <c r="K48" s="34"/>
      <c r="L48" s="479"/>
      <c r="M48" s="479"/>
      <c r="N48" s="479"/>
      <c r="O48" s="480"/>
      <c r="P48" s="361">
        <f>IF(OR(J48="",G48=Paramétrage!$D$9,G48=Paramétrage!$D$12,G48=Paramétrage!$D$15,G48=Paramétrage!$D$18,G48=Paramétrage!$D$22,G48=Paramétrage!$D$25,AND(G48&lt;&gt;Paramétrage!$D$9,K48="Mut+ext")),0,ROUNDUP(I48/J48,0))</f>
        <v>0</v>
      </c>
      <c r="Q48" s="17">
        <f>IF(OR(G48="",K48="Mut+ext"),0,IF(VLOOKUP(G48,Paramétrage!$D$6:$F$27,3,0)=0,0,IF(J48="","saisir capacité",H48*P48*VLOOKUP(G48,Paramétrage!$D$6:$F$27,2,0))))</f>
        <v>0</v>
      </c>
      <c r="R48" s="33"/>
      <c r="S48" s="15">
        <f t="shared" si="1"/>
        <v>0</v>
      </c>
      <c r="T48" s="28">
        <f>IF(G48="",0,IF(ISERROR(R48+Q48*VLOOKUP(G48,Paramétrage!$D$6:$F$27,3,0))=TRUE,S48,R48+Q48*VLOOKUP(G48,Paramétrage!$D$6:$F$27,3,0)))</f>
        <v>0</v>
      </c>
      <c r="U48" s="37"/>
      <c r="V48" s="37"/>
      <c r="W48" s="37"/>
      <c r="X48" s="37"/>
      <c r="Y48" s="362">
        <f t="shared" si="11"/>
        <v>0</v>
      </c>
      <c r="Z48" s="478"/>
      <c r="AA48" s="479"/>
      <c r="AB48" s="480"/>
      <c r="AC48" s="27">
        <f t="shared" si="9"/>
        <v>0</v>
      </c>
      <c r="AD48" s="16">
        <f t="shared" ref="AD48:AD53" si="15">H48*I48</f>
        <v>0</v>
      </c>
    </row>
    <row r="49" spans="1:30" hidden="1">
      <c r="A49" s="507"/>
      <c r="B49" s="52"/>
      <c r="C49" s="29"/>
      <c r="D49" s="48"/>
      <c r="E49" s="32"/>
      <c r="F49" s="30"/>
      <c r="G49" s="31"/>
      <c r="H49" s="40"/>
      <c r="I49" s="37"/>
      <c r="J49" s="44"/>
      <c r="K49" s="34"/>
      <c r="L49" s="479"/>
      <c r="M49" s="479"/>
      <c r="N49" s="479"/>
      <c r="O49" s="480"/>
      <c r="P49" s="361">
        <f>IF(OR(J49="",G49=Paramétrage!$D$9,G49=Paramétrage!$D$12,G49=Paramétrage!$D$15,G49=Paramétrage!$D$18,G49=Paramétrage!$D$22,G49=Paramétrage!$D$25,AND(G49&lt;&gt;Paramétrage!$D$9,K49="Mut+ext")),0,ROUNDUP(I49/J49,0))</f>
        <v>0</v>
      </c>
      <c r="Q49" s="17">
        <f>IF(OR(G49="",K49="Mut+ext"),0,IF(VLOOKUP(G49,Paramétrage!$D$6:$F$27,3,0)=0,0,IF(J49="","saisir capacité",H49*P49*VLOOKUP(G49,Paramétrage!$D$6:$F$27,2,0))))</f>
        <v>0</v>
      </c>
      <c r="R49" s="33"/>
      <c r="S49" s="15">
        <f t="shared" si="1"/>
        <v>0</v>
      </c>
      <c r="T49" s="28">
        <f>IF(G49="",0,IF(ISERROR(R49+Q49*VLOOKUP(G49,Paramétrage!$D$6:$F$27,3,0))=TRUE,S49,R49+Q49*VLOOKUP(G49,Paramétrage!$D$6:$F$27,3,0)))</f>
        <v>0</v>
      </c>
      <c r="U49" s="37"/>
      <c r="V49" s="37"/>
      <c r="W49" s="37"/>
      <c r="X49" s="37"/>
      <c r="Y49" s="362">
        <f t="shared" si="11"/>
        <v>0</v>
      </c>
      <c r="Z49" s="478"/>
      <c r="AA49" s="479"/>
      <c r="AB49" s="480"/>
      <c r="AC49" s="27">
        <f t="shared" si="9"/>
        <v>0</v>
      </c>
      <c r="AD49" s="16">
        <f t="shared" si="15"/>
        <v>0</v>
      </c>
    </row>
    <row r="50" spans="1:30" hidden="1">
      <c r="A50" s="507"/>
      <c r="B50" s="51"/>
      <c r="C50" s="29"/>
      <c r="D50" s="48"/>
      <c r="E50" s="32"/>
      <c r="F50" s="30"/>
      <c r="G50" s="31"/>
      <c r="H50" s="40"/>
      <c r="I50" s="37"/>
      <c r="J50" s="44"/>
      <c r="K50" s="34"/>
      <c r="L50" s="479"/>
      <c r="M50" s="479"/>
      <c r="N50" s="479"/>
      <c r="O50" s="480"/>
      <c r="P50" s="361">
        <f>IF(OR(J50="",G50=Paramétrage!$D$9,G50=Paramétrage!$D$12,G50=Paramétrage!$D$15,G50=Paramétrage!$D$18,G50=Paramétrage!$D$22,G50=Paramétrage!$D$25,AND(G50&lt;&gt;Paramétrage!$D$9,K50="Mut+ext")),0,ROUNDUP(I50/J50,0))</f>
        <v>0</v>
      </c>
      <c r="Q50" s="17">
        <f>IF(OR(G50="",K50="Mut+ext"),0,IF(VLOOKUP(G50,Paramétrage!$D$6:$F$27,3,0)=0,0,IF(J50="","saisir capacité",H50*P50*VLOOKUP(G50,Paramétrage!$D$6:$F$27,2,0))))</f>
        <v>0</v>
      </c>
      <c r="R50" s="33"/>
      <c r="S50" s="15">
        <f t="shared" si="1"/>
        <v>0</v>
      </c>
      <c r="T50" s="28">
        <f>IF(G50="",0,IF(ISERROR(R50+Q50*VLOOKUP(G50,Paramétrage!$D$6:$F$27,3,0))=TRUE,S50,R50+Q50*VLOOKUP(G50,Paramétrage!$D$6:$F$27,3,0)))</f>
        <v>0</v>
      </c>
      <c r="U50" s="37"/>
      <c r="V50" s="37"/>
      <c r="W50" s="37"/>
      <c r="X50" s="37"/>
      <c r="Y50" s="362">
        <f t="shared" si="11"/>
        <v>0</v>
      </c>
      <c r="Z50" s="478"/>
      <c r="AA50" s="479"/>
      <c r="AB50" s="480"/>
      <c r="AC50" s="27">
        <f t="shared" si="9"/>
        <v>0</v>
      </c>
      <c r="AD50" s="16">
        <f t="shared" si="15"/>
        <v>0</v>
      </c>
    </row>
    <row r="51" spans="1:30" hidden="1">
      <c r="A51" s="507"/>
      <c r="B51" s="51"/>
      <c r="C51" s="29"/>
      <c r="D51" s="48"/>
      <c r="E51" s="32"/>
      <c r="F51" s="30"/>
      <c r="G51" s="31"/>
      <c r="H51" s="40"/>
      <c r="I51" s="37"/>
      <c r="J51" s="44"/>
      <c r="K51" s="34"/>
      <c r="L51" s="479"/>
      <c r="M51" s="479"/>
      <c r="N51" s="479"/>
      <c r="O51" s="480"/>
      <c r="P51" s="361">
        <f>IF(OR(J51="",G51=Paramétrage!$D$9,G51=Paramétrage!$D$12,G51=Paramétrage!$D$15,G51=Paramétrage!$D$18,G51=Paramétrage!$D$22,G51=Paramétrage!$D$25,AND(G51&lt;&gt;Paramétrage!$D$9,K51="Mut+ext")),0,ROUNDUP(I51/J51,0))</f>
        <v>0</v>
      </c>
      <c r="Q51" s="17">
        <f>IF(OR(G51="",K51="Mut+ext"),0,IF(VLOOKUP(G51,Paramétrage!$D$6:$F$27,3,0)=0,0,IF(J51="","saisir capacité",H51*P51*VLOOKUP(G51,Paramétrage!$D$6:$F$27,2,0))))</f>
        <v>0</v>
      </c>
      <c r="R51" s="33"/>
      <c r="S51" s="15">
        <f t="shared" si="1"/>
        <v>0</v>
      </c>
      <c r="T51" s="28">
        <f>IF(G51="",0,IF(ISERROR(R51+Q51*VLOOKUP(G51,Paramétrage!$D$6:$F$27,3,0))=TRUE,S51,R51+Q51*VLOOKUP(G51,Paramétrage!$D$6:$F$27,3,0)))</f>
        <v>0</v>
      </c>
      <c r="U51" s="39"/>
      <c r="V51" s="39"/>
      <c r="W51" s="39"/>
      <c r="X51" s="39"/>
      <c r="Y51" s="362">
        <f t="shared" si="11"/>
        <v>0</v>
      </c>
      <c r="Z51" s="478"/>
      <c r="AA51" s="479"/>
      <c r="AB51" s="480"/>
      <c r="AC51" s="27">
        <f t="shared" si="9"/>
        <v>0</v>
      </c>
      <c r="AD51" s="16">
        <f t="shared" si="15"/>
        <v>0</v>
      </c>
    </row>
    <row r="52" spans="1:30" hidden="1">
      <c r="A52" s="507"/>
      <c r="B52" s="51"/>
      <c r="C52" s="29"/>
      <c r="D52" s="48"/>
      <c r="E52" s="32"/>
      <c r="F52" s="30"/>
      <c r="G52" s="31"/>
      <c r="H52" s="40"/>
      <c r="I52" s="37"/>
      <c r="J52" s="44"/>
      <c r="K52" s="34"/>
      <c r="L52" s="479"/>
      <c r="M52" s="479"/>
      <c r="N52" s="479"/>
      <c r="O52" s="480"/>
      <c r="P52" s="361">
        <f>IF(OR(J52="",G52=Paramétrage!$D$9,G52=Paramétrage!$D$12,G52=Paramétrage!$D$15,G52=Paramétrage!$D$18,G52=Paramétrage!$D$22,G52=Paramétrage!$D$25,AND(G52&lt;&gt;Paramétrage!$D$9,K52="Mut+ext")),0,ROUNDUP(I52/J52,0))</f>
        <v>0</v>
      </c>
      <c r="Q52" s="17">
        <f>IF(OR(G52="",K52="Mut+ext"),0,IF(VLOOKUP(G52,Paramétrage!$D$6:$F$27,3,0)=0,0,IF(J52="","saisir capacité",H52*P52*VLOOKUP(G52,Paramétrage!$D$6:$F$27,2,0))))</f>
        <v>0</v>
      </c>
      <c r="R52" s="33"/>
      <c r="S52" s="15">
        <f t="shared" si="1"/>
        <v>0</v>
      </c>
      <c r="T52" s="28">
        <f>IF(G52="",0,IF(ISERROR(R52+Q52*VLOOKUP(G52,Paramétrage!$D$6:$F$27,3,0))=TRUE,S52,R52+Q52*VLOOKUP(G52,Paramétrage!$D$6:$F$27,3,0)))</f>
        <v>0</v>
      </c>
      <c r="U52" s="38"/>
      <c r="V52" s="38"/>
      <c r="W52" s="38"/>
      <c r="X52" s="38"/>
      <c r="Y52" s="362">
        <f t="shared" si="11"/>
        <v>0</v>
      </c>
      <c r="Z52" s="478"/>
      <c r="AA52" s="479"/>
      <c r="AB52" s="480"/>
      <c r="AC52" s="27">
        <f t="shared" si="9"/>
        <v>0</v>
      </c>
      <c r="AD52" s="16">
        <f t="shared" si="15"/>
        <v>0</v>
      </c>
    </row>
    <row r="53" spans="1:30" hidden="1">
      <c r="A53" s="507"/>
      <c r="B53" s="51"/>
      <c r="C53" s="29"/>
      <c r="D53" s="48"/>
      <c r="E53" s="32"/>
      <c r="F53" s="30"/>
      <c r="G53" s="31"/>
      <c r="H53" s="40"/>
      <c r="I53" s="37"/>
      <c r="J53" s="44"/>
      <c r="K53" s="34"/>
      <c r="L53" s="479"/>
      <c r="M53" s="479"/>
      <c r="N53" s="479"/>
      <c r="O53" s="480"/>
      <c r="P53" s="361">
        <f>IF(OR(J53="",G53=Paramétrage!$D$9,G53=Paramétrage!$D$12,G53=Paramétrage!$D$15,G53=Paramétrage!$D$18,G53=Paramétrage!$D$22,G53=Paramétrage!$D$25,AND(G53&lt;&gt;Paramétrage!$D$9,K53="Mut+ext")),0,ROUNDUP(I53/J53,0))</f>
        <v>0</v>
      </c>
      <c r="Q53" s="17">
        <f>IF(OR(G53="",K53="Mut+ext"),0,IF(VLOOKUP(G53,Paramétrage!$D$6:$F$27,3,0)=0,0,IF(J53="","saisir capacité",H53*P53*VLOOKUP(G53,Paramétrage!$D$6:$F$27,2,0))))</f>
        <v>0</v>
      </c>
      <c r="R53" s="33"/>
      <c r="S53" s="15">
        <f t="shared" si="1"/>
        <v>0</v>
      </c>
      <c r="T53" s="28">
        <f>IF(G53="",0,IF(ISERROR(R53+Q53*VLOOKUP(G53,Paramétrage!$D$6:$F$27,3,0))=TRUE,S53,R53+Q53*VLOOKUP(G53,Paramétrage!$D$6:$F$27,3,0)))</f>
        <v>0</v>
      </c>
      <c r="U53" s="37"/>
      <c r="V53" s="37"/>
      <c r="W53" s="37"/>
      <c r="X53" s="37"/>
      <c r="Y53" s="362">
        <f t="shared" si="11"/>
        <v>0</v>
      </c>
      <c r="Z53" s="478"/>
      <c r="AA53" s="479"/>
      <c r="AB53" s="480"/>
      <c r="AC53" s="27">
        <f t="shared" si="9"/>
        <v>0</v>
      </c>
      <c r="AD53" s="16">
        <f t="shared" si="15"/>
        <v>0</v>
      </c>
    </row>
    <row r="54" spans="1:30" ht="16.149999999999999" thickBot="1">
      <c r="A54" s="508"/>
      <c r="B54" s="53"/>
      <c r="C54" s="62"/>
      <c r="D54" s="19"/>
      <c r="E54" s="402"/>
      <c r="F54" s="20"/>
      <c r="G54" s="18"/>
      <c r="H54" s="46">
        <f>AC54</f>
        <v>644</v>
      </c>
      <c r="I54" s="41"/>
      <c r="J54" s="45"/>
      <c r="K54" s="50"/>
      <c r="L54" s="58"/>
      <c r="M54" s="58"/>
      <c r="N54" s="58"/>
      <c r="O54" s="59"/>
      <c r="P54" s="389"/>
      <c r="Q54" s="390">
        <f t="shared" ref="Q54:Y54" si="16">SUM(Q8:Q53)</f>
        <v>126</v>
      </c>
      <c r="R54" s="357">
        <f t="shared" si="16"/>
        <v>21</v>
      </c>
      <c r="S54" s="391">
        <f t="shared" si="16"/>
        <v>147</v>
      </c>
      <c r="T54" s="63">
        <f t="shared" si="16"/>
        <v>138.84</v>
      </c>
      <c r="U54" s="391">
        <f t="shared" si="16"/>
        <v>45</v>
      </c>
      <c r="V54" s="391">
        <f t="shared" si="16"/>
        <v>18</v>
      </c>
      <c r="W54" s="391">
        <f t="shared" si="16"/>
        <v>84</v>
      </c>
      <c r="X54" s="391">
        <f t="shared" si="16"/>
        <v>0</v>
      </c>
      <c r="Y54" s="391">
        <f t="shared" si="16"/>
        <v>147</v>
      </c>
      <c r="Z54" s="368"/>
      <c r="AA54" s="60"/>
      <c r="AB54" s="369"/>
      <c r="AC54" s="61">
        <f>SUM(AC8:AC53)</f>
        <v>644</v>
      </c>
      <c r="AD54" s="26">
        <f>SUM(AD8:AD53)</f>
        <v>12316</v>
      </c>
    </row>
    <row r="55" spans="1:30" ht="14.45" customHeight="1">
      <c r="A55" s="506" t="s">
        <v>71</v>
      </c>
      <c r="B55" s="431" t="s">
        <v>72</v>
      </c>
      <c r="C55" s="429" t="s">
        <v>73</v>
      </c>
      <c r="D55" s="48" t="s">
        <v>34</v>
      </c>
      <c r="E55" s="434" t="s">
        <v>35</v>
      </c>
      <c r="F55" s="424">
        <v>1</v>
      </c>
      <c r="G55" s="441" t="s">
        <v>49</v>
      </c>
      <c r="H55" s="450">
        <v>12</v>
      </c>
      <c r="I55" s="433">
        <f>+'Recettes et simulat'!$E$6</f>
        <v>24</v>
      </c>
      <c r="J55" s="427">
        <v>24</v>
      </c>
      <c r="K55" s="49"/>
      <c r="L55" s="483"/>
      <c r="M55" s="483"/>
      <c r="N55" s="483"/>
      <c r="O55" s="484"/>
      <c r="P55" s="361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12</v>
      </c>
      <c r="R55" s="54"/>
      <c r="S55" s="15">
        <f t="shared" si="1"/>
        <v>12</v>
      </c>
      <c r="T55" s="55">
        <f>IF(G55="",0,IF(ISERROR(R55+Q55*VLOOKUP(G55,Paramétrage!$D$6:$F$27,3,0))=TRUE,S55,R55+Q55*VLOOKUP(G55,Paramétrage!$D$6:$F$27,3,0)))</f>
        <v>12</v>
      </c>
      <c r="U55" s="37"/>
      <c r="V55" s="37">
        <f t="shared" ref="U55:W70" si="17">+$S55</f>
        <v>12</v>
      </c>
      <c r="W55" s="36"/>
      <c r="X55" s="36"/>
      <c r="Y55" s="362">
        <f>SUM(U55:X55)</f>
        <v>12</v>
      </c>
      <c r="Z55" s="482"/>
      <c r="AA55" s="483"/>
      <c r="AB55" s="484"/>
      <c r="AC55" s="439">
        <f>IF(B55="",0,IF(E55="",0,IF(SUMIF($B$55:$B$99,B55,$I$55:$I$99)=0,0,IF(E55="Obligatoire",AD55/I55,IF(F55="",AD55/SUMIF($B$55:$B$99,B55,$I$55:$I$99),AD55/(SUMIF($B$55:$B$99,B55,$I$55:$I$99)/F55))))))</f>
        <v>12</v>
      </c>
      <c r="AD55" s="57">
        <f>H55*I55</f>
        <v>288</v>
      </c>
    </row>
    <row r="56" spans="1:30">
      <c r="A56" s="507"/>
      <c r="B56" s="428" t="s">
        <v>74</v>
      </c>
      <c r="C56" s="465" t="s">
        <v>75</v>
      </c>
      <c r="D56" s="48" t="s">
        <v>34</v>
      </c>
      <c r="E56" s="435" t="s">
        <v>35</v>
      </c>
      <c r="F56" s="424">
        <v>1</v>
      </c>
      <c r="G56" s="441" t="s">
        <v>53</v>
      </c>
      <c r="H56" s="450">
        <v>8</v>
      </c>
      <c r="I56" s="433">
        <f>+'Recettes et simulat'!$E$6</f>
        <v>24</v>
      </c>
      <c r="J56" s="427">
        <v>24</v>
      </c>
      <c r="K56" s="34"/>
      <c r="L56" s="479"/>
      <c r="M56" s="479"/>
      <c r="N56" s="479"/>
      <c r="O56" s="480"/>
      <c r="P56" s="361">
        <f>IF(OR(J56="",G56=Paramétrage!$D$9,G56=Paramétrage!$D$12,G56=Paramétrage!$D$15,G56=Paramétrage!$D$18,G56=Paramétrage!$D$22,G56=Paramétrage!$D$25,AND(G56&lt;&gt;Paramétrage!$D$9,K56="Mut+ext")),0,ROUNDUP(I56/J56,0))</f>
        <v>1</v>
      </c>
      <c r="Q56" s="17">
        <f>IF(OR(G56="",K56="Mut+ext"),0,IF(VLOOKUP(G56,Paramétrage!$D$6:$F$27,3,0)=0,0,IF(J56="","saisir capacité",H56*P56*VLOOKUP(G56,Paramétrage!$D$6:$F$27,2,0))))</f>
        <v>8</v>
      </c>
      <c r="R56" s="33"/>
      <c r="S56" s="15">
        <f t="shared" si="1"/>
        <v>8</v>
      </c>
      <c r="T56" s="28">
        <f>IF(G56="",0,IF(ISERROR(R56+Q56*VLOOKUP(G56,Paramétrage!$D$6:$F$27,3,0))=TRUE,S56,R56+Q56*VLOOKUP(G56,Paramétrage!$D$6:$F$27,3,0)))</f>
        <v>8</v>
      </c>
      <c r="U56" s="37"/>
      <c r="V56" s="37"/>
      <c r="W56" s="37">
        <f t="shared" si="17"/>
        <v>8</v>
      </c>
      <c r="X56" s="37"/>
      <c r="Y56" s="362">
        <f t="shared" ref="Y56:Y79" si="18">SUM(U56:X56)</f>
        <v>8</v>
      </c>
      <c r="Z56" s="478"/>
      <c r="AA56" s="479"/>
      <c r="AB56" s="480"/>
      <c r="AC56" s="440">
        <f>IF(B56="",0,IF(E56="",0,IF(SUMIF($B$55:$B$99,B56,$I$55:$I$99)=0,0,IF(E56="Obligatoire",AD56/I56,IF(F56="",AD56/SUMIF($B$55:$B$99,B56,$I$55:$I$99),AD56/(SUMIF($B$55:$B$99,B56,$I$55:$I$99)/F56))))))</f>
        <v>8</v>
      </c>
      <c r="AD56" s="16">
        <f>H56*I56</f>
        <v>192</v>
      </c>
    </row>
    <row r="57" spans="1:30">
      <c r="A57" s="507"/>
      <c r="B57" s="428" t="s">
        <v>76</v>
      </c>
      <c r="C57" s="472" t="s">
        <v>45</v>
      </c>
      <c r="D57" s="475" t="s">
        <v>57</v>
      </c>
      <c r="E57" s="474" t="s">
        <v>46</v>
      </c>
      <c r="F57" s="424">
        <v>3</v>
      </c>
      <c r="G57" s="459" t="s">
        <v>47</v>
      </c>
      <c r="H57" s="460">
        <v>6</v>
      </c>
      <c r="I57" s="433">
        <v>6</v>
      </c>
      <c r="J57" s="427">
        <v>8</v>
      </c>
      <c r="K57" s="34"/>
      <c r="L57" s="479"/>
      <c r="M57" s="479"/>
      <c r="N57" s="479"/>
      <c r="O57" s="480"/>
      <c r="P57" s="361">
        <f>IF(OR(J57="",G57=Paramétrage!$D$9,G57=Paramétrage!$D$12,G57=Paramétrage!$D$15,G57=Paramétrage!$D$18,G57=Paramétrage!$D$22,G57=Paramétrage!$D$25,AND(G57&lt;&gt;Paramétrage!$D$9,K57="Mut+ext")),0,ROUNDUP(I57/J57,0))</f>
        <v>1</v>
      </c>
      <c r="Q57" s="17">
        <f>IF(OR(G57="",K57="Mut+ext"),0,IF(VLOOKUP(G57,Paramétrage!$D$6:$F$27,3,0)=0,0,IF(J57="","saisir capacité",H57*P57*VLOOKUP(G57,Paramétrage!$D$6:$F$27,2,0))))</f>
        <v>6</v>
      </c>
      <c r="R57" s="33"/>
      <c r="S57" s="15">
        <f t="shared" si="1"/>
        <v>6</v>
      </c>
      <c r="T57" s="28">
        <f>IF(G57="",0,IF(ISERROR(R57+Q57*VLOOKUP(G57,Paramétrage!$D$6:$F$27,3,0))=TRUE,S57,R57+Q57*VLOOKUP(G57,Paramétrage!$D$6:$F$27,3,0)))</f>
        <v>3.96</v>
      </c>
      <c r="U57" s="37"/>
      <c r="V57" s="37"/>
      <c r="W57" s="37">
        <f t="shared" si="17"/>
        <v>6</v>
      </c>
      <c r="X57" s="37"/>
      <c r="Y57" s="362">
        <f t="shared" si="18"/>
        <v>6</v>
      </c>
      <c r="Z57" s="478"/>
      <c r="AA57" s="479"/>
      <c r="AB57" s="480"/>
      <c r="AC57" s="440">
        <f>IF(B57="",0,IF(E57="",0,IF(SUMIF($B$55:$B$99,B57,$I$55:$I$99)=0,0,IF(E57="Obligatoire",AD57/I57,IF(F57="",AD57/SUMIF($B$55:$B$99,B57,$I$55:$I$99),AD57/(SUMIF($B$55:$B$99,B57,$I$55:$I$99)/F57))))))</f>
        <v>2.1176470588235294</v>
      </c>
      <c r="AD57" s="16">
        <f t="shared" ref="AD57:AD72" si="19">H57*I57</f>
        <v>36</v>
      </c>
    </row>
    <row r="58" spans="1:30">
      <c r="A58" s="507"/>
      <c r="B58" s="428" t="s">
        <v>76</v>
      </c>
      <c r="C58" s="472" t="s">
        <v>45</v>
      </c>
      <c r="D58" s="462" t="s">
        <v>57</v>
      </c>
      <c r="E58" s="474" t="s">
        <v>46</v>
      </c>
      <c r="F58" s="424">
        <v>3</v>
      </c>
      <c r="G58" s="459" t="s">
        <v>48</v>
      </c>
      <c r="H58" s="460">
        <v>40</v>
      </c>
      <c r="I58" s="433">
        <v>6</v>
      </c>
      <c r="J58" s="427">
        <v>8</v>
      </c>
      <c r="K58" s="34"/>
      <c r="L58" s="479"/>
      <c r="M58" s="479"/>
      <c r="N58" s="479"/>
      <c r="O58" s="480"/>
      <c r="P58" s="361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3"/>
      <c r="S58" s="15">
        <f t="shared" si="1"/>
        <v>0</v>
      </c>
      <c r="T58" s="28">
        <f>IF(G58="",0,IF(ISERROR(R58+Q58*VLOOKUP(G58,Paramétrage!$D$6:$F$27,3,0))=TRUE,S58,R58+Q58*VLOOKUP(G58,Paramétrage!$D$6:$F$27,3,0)))</f>
        <v>0</v>
      </c>
      <c r="U58" s="37">
        <f t="shared" si="17"/>
        <v>0</v>
      </c>
      <c r="V58" s="37"/>
      <c r="W58" s="37"/>
      <c r="X58" s="37"/>
      <c r="Y58" s="362">
        <f t="shared" si="18"/>
        <v>0</v>
      </c>
      <c r="Z58" s="478"/>
      <c r="AA58" s="479"/>
      <c r="AB58" s="480"/>
      <c r="AC58" s="440">
        <f>IF(B58="",0,IF(E58="",0,IF(SUMIF($B$55:$B$99,B58,$I$55:$I$99)=0,0,IF(E58="Obligatoire",AD58/I58,IF(F58="",AD58/SUMIF($B$55:$B$99,B58,$I$55:$I$99),AD58/(SUMIF($B$55:$B$99,B58,$I$55:$I$99)/F58))))))</f>
        <v>14.117647058823529</v>
      </c>
      <c r="AD58" s="16">
        <f t="shared" si="19"/>
        <v>240</v>
      </c>
    </row>
    <row r="59" spans="1:30">
      <c r="A59" s="507"/>
      <c r="B59" s="428" t="s">
        <v>76</v>
      </c>
      <c r="C59" s="472" t="s">
        <v>45</v>
      </c>
      <c r="D59" s="462" t="s">
        <v>57</v>
      </c>
      <c r="E59" s="474" t="s">
        <v>46</v>
      </c>
      <c r="F59" s="424">
        <v>3</v>
      </c>
      <c r="G59" s="459" t="s">
        <v>49</v>
      </c>
      <c r="H59" s="460">
        <v>6</v>
      </c>
      <c r="I59" s="433">
        <v>6</v>
      </c>
      <c r="J59" s="427">
        <v>8</v>
      </c>
      <c r="K59" s="34"/>
      <c r="L59" s="479"/>
      <c r="M59" s="479"/>
      <c r="N59" s="479"/>
      <c r="O59" s="480"/>
      <c r="P59" s="361">
        <f>IF(OR(J59="",G59=Paramétrage!$D$9,G59=Paramétrage!$D$12,G59=Paramétrage!$D$15,G59=Paramétrage!$D$18,G59=Paramétrage!$D$22,G59=Paramétrage!$D$25,AND(G59&lt;&gt;Paramétrage!$D$9,K59="Mut+ext")),0,ROUNDUP(I59/J59,0))</f>
        <v>1</v>
      </c>
      <c r="Q59" s="17">
        <f>IF(OR(G59="",K59="Mut+ext"),0,IF(VLOOKUP(G59,Paramétrage!$D$6:$F$27,3,0)=0,0,IF(J59="","saisir capacité",H59*P59*VLOOKUP(G59,Paramétrage!$D$6:$F$27,2,0))))</f>
        <v>6</v>
      </c>
      <c r="R59" s="33"/>
      <c r="S59" s="15">
        <f t="shared" si="1"/>
        <v>6</v>
      </c>
      <c r="T59" s="28">
        <f>IF(G59="",0,IF(ISERROR(R59+Q59*VLOOKUP(G59,Paramétrage!$D$6:$F$27,3,0))=TRUE,S59,R59+Q59*VLOOKUP(G59,Paramétrage!$D$6:$F$27,3,0)))</f>
        <v>6</v>
      </c>
      <c r="U59" s="408">
        <f>S59</f>
        <v>6</v>
      </c>
      <c r="V59" s="37"/>
      <c r="W59" s="37"/>
      <c r="X59" s="37"/>
      <c r="Y59" s="362">
        <f t="shared" si="18"/>
        <v>6</v>
      </c>
      <c r="Z59" s="478"/>
      <c r="AA59" s="479"/>
      <c r="AB59" s="480"/>
      <c r="AC59" s="440">
        <f t="shared" ref="AC59:AC65" si="20">IF(B59="",0,IF(E59="",0,IF(SUMIF($B$55:$B$99,B59,$I$55:$I$99)=0,0,IF(E59="Obligatoire",AD59/I59,IF(F59="",AD59/SUMIF($B$55:$B$99,B59,$I$55:$I$99),AD59/(SUMIF($B$55:$B$99,B59,$I$55:$I$99)/F59))))))</f>
        <v>2.1176470588235294</v>
      </c>
      <c r="AD59" s="16">
        <f t="shared" ref="AD59:AD65" si="21">H59*I59</f>
        <v>36</v>
      </c>
    </row>
    <row r="60" spans="1:30">
      <c r="A60" s="507"/>
      <c r="B60" s="428" t="s">
        <v>76</v>
      </c>
      <c r="C60" s="472" t="s">
        <v>50</v>
      </c>
      <c r="D60" s="462" t="s">
        <v>57</v>
      </c>
      <c r="E60" s="474" t="s">
        <v>46</v>
      </c>
      <c r="F60" s="424">
        <v>3</v>
      </c>
      <c r="G60" s="459" t="s">
        <v>49</v>
      </c>
      <c r="H60" s="460">
        <v>6</v>
      </c>
      <c r="I60" s="433">
        <v>11</v>
      </c>
      <c r="J60" s="427">
        <v>16</v>
      </c>
      <c r="K60" s="34"/>
      <c r="L60" s="479"/>
      <c r="M60" s="479"/>
      <c r="N60" s="479"/>
      <c r="O60" s="480"/>
      <c r="P60" s="361">
        <f>IF(OR(J60="",G60=Paramétrage!$D$9,G60=Paramétrage!$D$12,G60=Paramétrage!$D$15,G60=Paramétrage!$D$18,G60=Paramétrage!$D$22,G60=Paramétrage!$D$25,AND(G60&lt;&gt;Paramétrage!$D$9,K60="Mut+ext")),0,ROUNDUP(I60/J60,0))</f>
        <v>1</v>
      </c>
      <c r="Q60" s="17">
        <f>IF(OR(G60="",K60="Mut+ext"),0,IF(VLOOKUP(G60,Paramétrage!$D$6:$F$27,3,0)=0,0,IF(J60="","saisir capacité",H60*P60*VLOOKUP(G60,Paramétrage!$D$6:$F$27,2,0))))</f>
        <v>6</v>
      </c>
      <c r="R60" s="33"/>
      <c r="S60" s="15">
        <f t="shared" si="1"/>
        <v>6</v>
      </c>
      <c r="T60" s="28">
        <f>IF(G60="",0,IF(ISERROR(R60+Q60*VLOOKUP(G60,Paramétrage!$D$6:$F$27,3,0))=TRUE,S60,R60+Q60*VLOOKUP(G60,Paramétrage!$D$6:$F$27,3,0)))</f>
        <v>6</v>
      </c>
      <c r="U60" s="408">
        <f>S60</f>
        <v>6</v>
      </c>
      <c r="V60" s="37"/>
      <c r="W60" s="37"/>
      <c r="X60" s="37"/>
      <c r="Y60" s="362">
        <f t="shared" si="18"/>
        <v>6</v>
      </c>
      <c r="Z60" s="478"/>
      <c r="AA60" s="479"/>
      <c r="AB60" s="480"/>
      <c r="AC60" s="440">
        <f t="shared" si="20"/>
        <v>3.8823529411764706</v>
      </c>
      <c r="AD60" s="16">
        <f t="shared" si="21"/>
        <v>66</v>
      </c>
    </row>
    <row r="61" spans="1:30">
      <c r="A61" s="507"/>
      <c r="B61" s="428" t="s">
        <v>76</v>
      </c>
      <c r="C61" s="472" t="s">
        <v>50</v>
      </c>
      <c r="D61" s="462" t="s">
        <v>57</v>
      </c>
      <c r="E61" s="474" t="s">
        <v>46</v>
      </c>
      <c r="F61" s="424">
        <v>3</v>
      </c>
      <c r="G61" s="459" t="s">
        <v>47</v>
      </c>
      <c r="H61" s="460">
        <v>6</v>
      </c>
      <c r="I61" s="433">
        <v>11</v>
      </c>
      <c r="J61" s="427">
        <v>16</v>
      </c>
      <c r="K61" s="34"/>
      <c r="L61" s="479"/>
      <c r="M61" s="479"/>
      <c r="N61" s="479"/>
      <c r="O61" s="480"/>
      <c r="P61" s="361">
        <f>IF(OR(J61="",G61=Paramétrage!$D$9,G61=Paramétrage!$D$12,G61=Paramétrage!$D$15,G61=Paramétrage!$D$18,G61=Paramétrage!$D$22,G61=Paramétrage!$D$25,AND(G61&lt;&gt;Paramétrage!$D$9,K61="Mut+ext")),0,ROUNDUP(I61/J61,0))</f>
        <v>1</v>
      </c>
      <c r="Q61" s="17">
        <f>IF(OR(G61="",K61="Mut+ext"),0,IF(VLOOKUP(G61,Paramétrage!$D$6:$F$27,3,0)=0,0,IF(J61="","saisir capacité",H61*P61*VLOOKUP(G61,Paramétrage!$D$6:$F$27,2,0))))</f>
        <v>6</v>
      </c>
      <c r="R61" s="33"/>
      <c r="S61" s="15">
        <f t="shared" si="1"/>
        <v>6</v>
      </c>
      <c r="T61" s="28">
        <f>IF(G61="",0,IF(ISERROR(R61+Q61*VLOOKUP(G61,Paramétrage!$D$6:$F$27,3,0))=TRUE,S61,R61+Q61*VLOOKUP(G61,Paramétrage!$D$6:$F$27,3,0)))</f>
        <v>3.96</v>
      </c>
      <c r="U61" s="408">
        <f>S61</f>
        <v>6</v>
      </c>
      <c r="V61" s="37"/>
      <c r="W61" s="37"/>
      <c r="X61" s="37"/>
      <c r="Y61" s="362">
        <f t="shared" si="18"/>
        <v>6</v>
      </c>
      <c r="Z61" s="478"/>
      <c r="AA61" s="479"/>
      <c r="AB61" s="480"/>
      <c r="AC61" s="440">
        <f t="shared" si="20"/>
        <v>3.8823529411764706</v>
      </c>
      <c r="AD61" s="16">
        <f t="shared" si="21"/>
        <v>66</v>
      </c>
    </row>
    <row r="62" spans="1:30">
      <c r="A62" s="507"/>
      <c r="B62" s="428" t="s">
        <v>76</v>
      </c>
      <c r="C62" s="472" t="s">
        <v>50</v>
      </c>
      <c r="D62" s="462" t="s">
        <v>57</v>
      </c>
      <c r="E62" s="474" t="s">
        <v>46</v>
      </c>
      <c r="F62" s="424">
        <v>3</v>
      </c>
      <c r="G62" s="459" t="s">
        <v>48</v>
      </c>
      <c r="H62" s="460">
        <v>40</v>
      </c>
      <c r="I62" s="433">
        <v>11</v>
      </c>
      <c r="J62" s="427">
        <v>16</v>
      </c>
      <c r="K62" s="34"/>
      <c r="L62" s="479"/>
      <c r="M62" s="479"/>
      <c r="N62" s="479"/>
      <c r="O62" s="480"/>
      <c r="P62" s="361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3"/>
      <c r="S62" s="15">
        <f t="shared" si="1"/>
        <v>0</v>
      </c>
      <c r="T62" s="28">
        <f>IF(G62="",0,IF(ISERROR(R62+Q62*VLOOKUP(G62,Paramétrage!$D$6:$F$27,3,0))=TRUE,S62,R62+Q62*VLOOKUP(G62,Paramétrage!$D$6:$F$27,3,0)))</f>
        <v>0</v>
      </c>
      <c r="U62" s="37"/>
      <c r="V62" s="37"/>
      <c r="W62" s="37"/>
      <c r="X62" s="37"/>
      <c r="Y62" s="362">
        <f t="shared" si="18"/>
        <v>0</v>
      </c>
      <c r="Z62" s="478"/>
      <c r="AA62" s="479"/>
      <c r="AB62" s="480"/>
      <c r="AC62" s="440">
        <f t="shared" si="20"/>
        <v>25.882352941176471</v>
      </c>
      <c r="AD62" s="16">
        <f t="shared" si="21"/>
        <v>440</v>
      </c>
    </row>
    <row r="63" spans="1:30">
      <c r="A63" s="507"/>
      <c r="B63" s="432" t="s">
        <v>77</v>
      </c>
      <c r="C63" s="429" t="s">
        <v>78</v>
      </c>
      <c r="D63" s="48" t="s">
        <v>34</v>
      </c>
      <c r="E63" s="435" t="s">
        <v>35</v>
      </c>
      <c r="F63" s="424">
        <v>1</v>
      </c>
      <c r="G63" s="441" t="s">
        <v>79</v>
      </c>
      <c r="H63" s="449">
        <v>4</v>
      </c>
      <c r="I63" s="433">
        <f>+'Recettes et simulat'!$E$6</f>
        <v>24</v>
      </c>
      <c r="J63" s="427">
        <v>24</v>
      </c>
      <c r="K63" s="34"/>
      <c r="L63" s="479"/>
      <c r="M63" s="479"/>
      <c r="N63" s="479"/>
      <c r="O63" s="480"/>
      <c r="P63" s="361">
        <f>IF(OR(J63="",G63=Paramétrage!$D$9,G63=Paramétrage!$D$12,G63=Paramétrage!$D$15,G63=Paramétrage!$D$18,G63=Paramétrage!$D$22,G63=Paramétrage!$D$25,AND(G63&lt;&gt;Paramétrage!$D$9,K63="Mut+ext")),0,ROUNDUP(I63/J63,0))</f>
        <v>1</v>
      </c>
      <c r="Q63" s="17">
        <f>IF(OR(G63="",K63="Mut+ext"),0,IF(VLOOKUP(G63,Paramétrage!$D$6:$F$27,3,0)=0,0,IF(J63="","saisir capacité",H63*P63*VLOOKUP(G63,Paramétrage!$D$6:$F$27,2,0))))</f>
        <v>4</v>
      </c>
      <c r="R63" s="33"/>
      <c r="S63" s="15">
        <f t="shared" si="1"/>
        <v>4</v>
      </c>
      <c r="T63" s="28">
        <f>IF(G63="",0,IF(ISERROR(R63+Q63*VLOOKUP(G63,Paramétrage!$D$6:$F$27,3,0))=TRUE,S63,R63+Q63*VLOOKUP(G63,Paramétrage!$D$6:$F$27,3,0)))</f>
        <v>4</v>
      </c>
      <c r="U63" s="37"/>
      <c r="V63" s="37"/>
      <c r="W63" s="37">
        <f t="shared" si="17"/>
        <v>4</v>
      </c>
      <c r="X63" s="37"/>
      <c r="Y63" s="362">
        <f t="shared" si="18"/>
        <v>4</v>
      </c>
      <c r="Z63" s="478"/>
      <c r="AA63" s="479"/>
      <c r="AB63" s="480"/>
      <c r="AC63" s="440">
        <f t="shared" si="20"/>
        <v>4</v>
      </c>
      <c r="AD63" s="16">
        <f t="shared" si="21"/>
        <v>96</v>
      </c>
    </row>
    <row r="64" spans="1:30">
      <c r="A64" s="507"/>
      <c r="B64" s="432" t="s">
        <v>77</v>
      </c>
      <c r="C64" s="465" t="s">
        <v>78</v>
      </c>
      <c r="D64" s="48" t="s">
        <v>34</v>
      </c>
      <c r="E64" s="435" t="s">
        <v>35</v>
      </c>
      <c r="F64" s="424">
        <v>1</v>
      </c>
      <c r="G64" s="451" t="s">
        <v>80</v>
      </c>
      <c r="H64" s="453">
        <v>21</v>
      </c>
      <c r="I64" s="433">
        <f>+'Recettes et simulat'!$E$6</f>
        <v>24</v>
      </c>
      <c r="J64" s="427">
        <v>24</v>
      </c>
      <c r="K64" s="34"/>
      <c r="L64" s="479"/>
      <c r="M64" s="479"/>
      <c r="N64" s="479"/>
      <c r="O64" s="480"/>
      <c r="P64" s="361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3">
        <v>14</v>
      </c>
      <c r="S64" s="15">
        <f t="shared" si="1"/>
        <v>14</v>
      </c>
      <c r="T64" s="28">
        <f>IF(G64="",0,IF(ISERROR(R64+Q64*VLOOKUP(G64,Paramétrage!$D$6:$F$27,3,0))=TRUE,S64,R64+Q64*VLOOKUP(G64,Paramétrage!$D$6:$F$27,3,0)))</f>
        <v>14</v>
      </c>
      <c r="U64" s="37"/>
      <c r="V64" s="37"/>
      <c r="W64" s="37">
        <f t="shared" si="17"/>
        <v>14</v>
      </c>
      <c r="X64" s="37"/>
      <c r="Y64" s="362">
        <f t="shared" si="18"/>
        <v>14</v>
      </c>
      <c r="Z64" s="478"/>
      <c r="AA64" s="479"/>
      <c r="AB64" s="480"/>
      <c r="AC64" s="440">
        <f t="shared" si="20"/>
        <v>21</v>
      </c>
      <c r="AD64" s="16">
        <f t="shared" si="21"/>
        <v>504</v>
      </c>
    </row>
    <row r="65" spans="1:30">
      <c r="A65" s="507"/>
      <c r="B65" s="428" t="s">
        <v>81</v>
      </c>
      <c r="C65" s="429" t="s">
        <v>82</v>
      </c>
      <c r="D65" s="48" t="s">
        <v>34</v>
      </c>
      <c r="E65" s="435" t="s">
        <v>35</v>
      </c>
      <c r="F65" s="424">
        <v>1</v>
      </c>
      <c r="G65" s="441" t="s">
        <v>53</v>
      </c>
      <c r="H65" s="449">
        <v>35</v>
      </c>
      <c r="I65" s="433">
        <f>+'Recettes et simulat'!$E$6</f>
        <v>24</v>
      </c>
      <c r="J65" s="427">
        <v>24</v>
      </c>
      <c r="K65" s="34"/>
      <c r="L65" s="479"/>
      <c r="M65" s="479"/>
      <c r="N65" s="479"/>
      <c r="O65" s="480"/>
      <c r="P65" s="361">
        <f>IF(OR(J65="",G65=Paramétrage!$D$9,G65=Paramétrage!$D$12,G65=Paramétrage!$D$15,G65=Paramétrage!$D$18,G65=Paramétrage!$D$22,G65=Paramétrage!$D$25,AND(G65&lt;&gt;Paramétrage!$D$9,K65="Mut+ext")),0,ROUNDUP(I65/J65,0))</f>
        <v>1</v>
      </c>
      <c r="Q65" s="17">
        <f>IF(OR(G65="",K65="Mut+ext"),0,IF(VLOOKUP(G65,Paramétrage!$D$6:$F$27,3,0)=0,0,IF(J65="","saisir capacité",H65*P65*VLOOKUP(G65,Paramétrage!$D$6:$F$27,2,0))))</f>
        <v>35</v>
      </c>
      <c r="R65" s="33"/>
      <c r="S65" s="15">
        <f t="shared" si="1"/>
        <v>35</v>
      </c>
      <c r="T65" s="28">
        <f>IF(G65="",0,IF(ISERROR(R65+Q65*VLOOKUP(G65,Paramétrage!$D$6:$F$27,3,0))=TRUE,S65,R65+Q65*VLOOKUP(G65,Paramétrage!$D$6:$F$27,3,0)))</f>
        <v>35</v>
      </c>
      <c r="U65" s="37">
        <v>20</v>
      </c>
      <c r="V65" s="37"/>
      <c r="W65" s="37">
        <v>15</v>
      </c>
      <c r="X65" s="37"/>
      <c r="Y65" s="362">
        <f t="shared" si="18"/>
        <v>35</v>
      </c>
      <c r="Z65" s="478"/>
      <c r="AA65" s="479"/>
      <c r="AB65" s="480"/>
      <c r="AC65" s="440">
        <f t="shared" si="20"/>
        <v>35</v>
      </c>
      <c r="AD65" s="16">
        <f t="shared" si="21"/>
        <v>840</v>
      </c>
    </row>
    <row r="66" spans="1:30">
      <c r="A66" s="507"/>
      <c r="B66" s="428" t="s">
        <v>81</v>
      </c>
      <c r="C66" s="465" t="s">
        <v>82</v>
      </c>
      <c r="D66" s="48" t="s">
        <v>34</v>
      </c>
      <c r="E66" s="435" t="s">
        <v>35</v>
      </c>
      <c r="F66" s="424">
        <v>1</v>
      </c>
      <c r="G66" s="445" t="s">
        <v>48</v>
      </c>
      <c r="H66" s="446">
        <v>28</v>
      </c>
      <c r="I66" s="433">
        <f>+'Recettes et simulat'!$E$6</f>
        <v>24</v>
      </c>
      <c r="J66" s="427">
        <v>24</v>
      </c>
      <c r="K66" s="34"/>
      <c r="L66" s="479"/>
      <c r="M66" s="479"/>
      <c r="N66" s="479"/>
      <c r="O66" s="480"/>
      <c r="P66" s="361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3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37">
        <f t="shared" si="17"/>
        <v>0</v>
      </c>
      <c r="V66" s="412"/>
      <c r="W66" s="412"/>
      <c r="X66" s="37"/>
      <c r="Y66" s="362">
        <f t="shared" si="18"/>
        <v>0</v>
      </c>
      <c r="Z66" s="478"/>
      <c r="AA66" s="479"/>
      <c r="AB66" s="480"/>
      <c r="AC66" s="440">
        <f t="shared" ref="AC63:AC75" si="22">IF(B66="",0,IF(E66="",0,IF(SUMIF($B$55:$B$99,B66,$I$55:$I$99)=0,0,IF(E66="Obligatoire",AD66/I66,IF(F66="",AD66/SUMIF($B$55:$B$99,B66,$I$55:$I$99),AD66/(SUMIF($B$55:$B$99,B66,$I$55:$I$99)/F66))))))</f>
        <v>28</v>
      </c>
      <c r="AD66" s="16">
        <f t="shared" si="19"/>
        <v>672</v>
      </c>
    </row>
    <row r="67" spans="1:30">
      <c r="A67" s="507"/>
      <c r="B67" s="428" t="s">
        <v>83</v>
      </c>
      <c r="C67" s="429" t="s">
        <v>84</v>
      </c>
      <c r="D67" s="48" t="s">
        <v>34</v>
      </c>
      <c r="E67" s="435" t="s">
        <v>35</v>
      </c>
      <c r="F67" s="424">
        <v>1</v>
      </c>
      <c r="G67" s="441" t="s">
        <v>53</v>
      </c>
      <c r="H67" s="449">
        <v>20</v>
      </c>
      <c r="I67" s="433">
        <f>+'Recettes et simulat'!$E$6</f>
        <v>24</v>
      </c>
      <c r="J67" s="427">
        <v>24</v>
      </c>
      <c r="K67" s="34"/>
      <c r="L67" s="479"/>
      <c r="M67" s="479"/>
      <c r="N67" s="479"/>
      <c r="O67" s="480"/>
      <c r="P67" s="361">
        <f>IF(OR(J67="",G67=Paramétrage!$D$9,G67=Paramétrage!$D$12,G67=Paramétrage!$D$15,G67=Paramétrage!$D$18,G67=Paramétrage!$D$22,G67=Paramétrage!$D$25,AND(G67&lt;&gt;Paramétrage!$D$9,K67="Mut+ext")),0,ROUNDUP(I67/J67,0))</f>
        <v>1</v>
      </c>
      <c r="Q67" s="17">
        <f>IF(OR(G67="",K67="Mut+ext"),0,IF(VLOOKUP(G67,Paramétrage!$D$6:$F$27,3,0)=0,0,IF(J67="","saisir capacité",H67*P67*VLOOKUP(G67,Paramétrage!$D$6:$F$27,2,0))))</f>
        <v>20</v>
      </c>
      <c r="R67" s="33"/>
      <c r="S67" s="15">
        <f t="shared" si="1"/>
        <v>20</v>
      </c>
      <c r="T67" s="28">
        <f>IF(G67="",0,IF(ISERROR(R67+Q67*VLOOKUP(G67,Paramétrage!$D$6:$F$27,3,0))=TRUE,S67,R67+Q67*VLOOKUP(G67,Paramétrage!$D$6:$F$27,3,0)))</f>
        <v>20</v>
      </c>
      <c r="U67" s="37">
        <f t="shared" si="17"/>
        <v>20</v>
      </c>
      <c r="V67" s="37"/>
      <c r="W67" s="37"/>
      <c r="X67" s="37"/>
      <c r="Y67" s="362">
        <f t="shared" si="18"/>
        <v>20</v>
      </c>
      <c r="Z67" s="478"/>
      <c r="AA67" s="479"/>
      <c r="AB67" s="480"/>
      <c r="AC67" s="440">
        <f t="shared" si="22"/>
        <v>20</v>
      </c>
      <c r="AD67" s="16">
        <f t="shared" si="19"/>
        <v>480</v>
      </c>
    </row>
    <row r="68" spans="1:30">
      <c r="A68" s="507"/>
      <c r="B68" s="428" t="s">
        <v>83</v>
      </c>
      <c r="C68" s="429" t="s">
        <v>85</v>
      </c>
      <c r="D68" s="48" t="s">
        <v>55</v>
      </c>
      <c r="E68" s="435" t="s">
        <v>35</v>
      </c>
      <c r="F68" s="424">
        <v>1</v>
      </c>
      <c r="G68" s="445" t="s">
        <v>48</v>
      </c>
      <c r="H68" s="446">
        <v>50</v>
      </c>
      <c r="I68" s="437">
        <f>+'Recettes et simulat'!$E$7</f>
        <v>7</v>
      </c>
      <c r="J68" s="427">
        <v>24</v>
      </c>
      <c r="K68" s="34"/>
      <c r="L68" s="479"/>
      <c r="M68" s="479"/>
      <c r="N68" s="479"/>
      <c r="O68" s="480"/>
      <c r="P68" s="361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3"/>
      <c r="S68" s="15">
        <f t="shared" si="1"/>
        <v>0</v>
      </c>
      <c r="T68" s="28">
        <f>IF(G68="",0,IF(ISERROR(R68+Q68*VLOOKUP(G68,Paramétrage!$D$6:$F$27,3,0))=TRUE,S68,R68+Q68*VLOOKUP(G68,Paramétrage!$D$6:$F$27,3,0)))</f>
        <v>0</v>
      </c>
      <c r="U68" s="37">
        <f t="shared" si="17"/>
        <v>0</v>
      </c>
      <c r="V68" s="37"/>
      <c r="W68" s="37"/>
      <c r="X68" s="37"/>
      <c r="Y68" s="362">
        <f t="shared" si="18"/>
        <v>0</v>
      </c>
      <c r="Z68" s="478"/>
      <c r="AA68" s="479"/>
      <c r="AB68" s="480"/>
      <c r="AC68" s="440">
        <f t="shared" si="22"/>
        <v>50</v>
      </c>
      <c r="AD68" s="16">
        <f t="shared" si="19"/>
        <v>350</v>
      </c>
    </row>
    <row r="69" spans="1:30">
      <c r="A69" s="507"/>
      <c r="B69" s="428" t="s">
        <v>83</v>
      </c>
      <c r="C69" s="429" t="s">
        <v>86</v>
      </c>
      <c r="D69" s="48" t="s">
        <v>57</v>
      </c>
      <c r="E69" s="435" t="s">
        <v>35</v>
      </c>
      <c r="F69" s="424">
        <v>1</v>
      </c>
      <c r="G69" s="459" t="s">
        <v>48</v>
      </c>
      <c r="H69" s="460">
        <v>100</v>
      </c>
      <c r="I69" s="426">
        <f>+'Recettes et simulat'!$E$6-'Recettes et simulat'!$E$7</f>
        <v>17</v>
      </c>
      <c r="J69" s="427">
        <v>24</v>
      </c>
      <c r="K69" s="34"/>
      <c r="L69" s="479"/>
      <c r="M69" s="479"/>
      <c r="N69" s="479"/>
      <c r="O69" s="480"/>
      <c r="P69" s="361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3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7"/>
      <c r="V69" s="37"/>
      <c r="W69" s="37"/>
      <c r="X69" s="37"/>
      <c r="Y69" s="362">
        <f t="shared" si="18"/>
        <v>0</v>
      </c>
      <c r="Z69" s="478"/>
      <c r="AA69" s="479"/>
      <c r="AB69" s="480"/>
      <c r="AC69" s="440">
        <f t="shared" si="22"/>
        <v>100</v>
      </c>
      <c r="AD69" s="16">
        <f t="shared" si="19"/>
        <v>1700</v>
      </c>
    </row>
    <row r="70" spans="1:30">
      <c r="A70" s="507"/>
      <c r="B70" s="431" t="s">
        <v>87</v>
      </c>
      <c r="C70" s="465" t="s">
        <v>88</v>
      </c>
      <c r="D70" s="48" t="s">
        <v>34</v>
      </c>
      <c r="E70" s="435" t="s">
        <v>35</v>
      </c>
      <c r="F70" s="424">
        <v>1</v>
      </c>
      <c r="G70" s="441" t="s">
        <v>53</v>
      </c>
      <c r="H70" s="449">
        <v>24</v>
      </c>
      <c r="I70" s="433">
        <f>+'Recettes et simulat'!$E$6</f>
        <v>24</v>
      </c>
      <c r="J70" s="427">
        <v>24</v>
      </c>
      <c r="K70" s="34"/>
      <c r="L70" s="479"/>
      <c r="M70" s="479"/>
      <c r="N70" s="479"/>
      <c r="O70" s="480"/>
      <c r="P70" s="361">
        <f>IF(OR(J70="",G70=Paramétrage!$D$9,G70=Paramétrage!$D$12,G70=Paramétrage!$D$15,G70=Paramétrage!$D$18,G70=Paramétrage!$D$22,G70=Paramétrage!$D$25,AND(G70&lt;&gt;Paramétrage!$D$9,K70="Mut+ext")),0,ROUNDUP(I70/J70,0))</f>
        <v>1</v>
      </c>
      <c r="Q70" s="17">
        <f>IF(OR(G70="",K70="Mut+ext"),0,IF(VLOOKUP(G70,Paramétrage!$D$6:$F$27,3,0)=0,0,IF(J70="","saisir capacité",H70*P70*VLOOKUP(G70,Paramétrage!$D$6:$F$27,2,0))))</f>
        <v>24</v>
      </c>
      <c r="R70" s="33"/>
      <c r="S70" s="15">
        <f t="shared" si="1"/>
        <v>24</v>
      </c>
      <c r="T70" s="28">
        <f>IF(G70="",0,IF(ISERROR(R70+Q70*VLOOKUP(G70,Paramétrage!$D$6:$F$27,3,0))=TRUE,S70,R70+Q70*VLOOKUP(G70,Paramétrage!$D$6:$F$27,3,0)))</f>
        <v>24</v>
      </c>
      <c r="U70" s="37">
        <f t="shared" si="17"/>
        <v>24</v>
      </c>
      <c r="V70" s="37"/>
      <c r="W70" s="37"/>
      <c r="X70" s="37"/>
      <c r="Y70" s="362">
        <f t="shared" si="18"/>
        <v>24</v>
      </c>
      <c r="Z70" s="478"/>
      <c r="AA70" s="479"/>
      <c r="AB70" s="480"/>
      <c r="AC70" s="440">
        <f t="shared" si="22"/>
        <v>24</v>
      </c>
      <c r="AD70" s="16">
        <f t="shared" si="19"/>
        <v>576</v>
      </c>
    </row>
    <row r="71" spans="1:30">
      <c r="A71" s="507"/>
      <c r="B71" s="428" t="s">
        <v>87</v>
      </c>
      <c r="C71" s="465" t="s">
        <v>88</v>
      </c>
      <c r="D71" s="48" t="s">
        <v>34</v>
      </c>
      <c r="E71" s="435" t="s">
        <v>35</v>
      </c>
      <c r="F71" s="424">
        <v>1</v>
      </c>
      <c r="G71" s="445" t="s">
        <v>48</v>
      </c>
      <c r="H71" s="446">
        <v>18</v>
      </c>
      <c r="I71" s="433">
        <f>+'Recettes et simulat'!$E$6</f>
        <v>24</v>
      </c>
      <c r="J71" s="427">
        <v>24</v>
      </c>
      <c r="K71" s="34"/>
      <c r="L71" s="479"/>
      <c r="M71" s="479"/>
      <c r="N71" s="479"/>
      <c r="O71" s="480"/>
      <c r="P71" s="361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3"/>
      <c r="S71" s="15">
        <f t="shared" si="1"/>
        <v>0</v>
      </c>
      <c r="T71" s="28">
        <f>IF(G71="",0,IF(ISERROR(R71+Q71*VLOOKUP(G71,Paramétrage!$D$6:$F$27,3,0))=TRUE,S71,R71+Q71*VLOOKUP(G71,Paramétrage!$D$6:$F$27,3,0)))</f>
        <v>0</v>
      </c>
      <c r="U71" s="37"/>
      <c r="V71" s="37"/>
      <c r="W71" s="37"/>
      <c r="X71" s="37"/>
      <c r="Y71" s="362">
        <f t="shared" si="18"/>
        <v>0</v>
      </c>
      <c r="Z71" s="478"/>
      <c r="AA71" s="479"/>
      <c r="AB71" s="480"/>
      <c r="AC71" s="440">
        <f t="shared" si="22"/>
        <v>18</v>
      </c>
      <c r="AD71" s="16">
        <f t="shared" si="19"/>
        <v>432</v>
      </c>
    </row>
    <row r="72" spans="1:30">
      <c r="A72" s="507"/>
      <c r="B72" s="428" t="s">
        <v>89</v>
      </c>
      <c r="C72" s="465" t="s">
        <v>90</v>
      </c>
      <c r="D72" s="48" t="s">
        <v>55</v>
      </c>
      <c r="E72" s="436" t="s">
        <v>35</v>
      </c>
      <c r="F72" s="424">
        <v>1</v>
      </c>
      <c r="G72" s="451" t="s">
        <v>43</v>
      </c>
      <c r="H72" s="454">
        <v>60</v>
      </c>
      <c r="I72" s="437">
        <f>+'Recettes et simulat'!$E$7</f>
        <v>7</v>
      </c>
      <c r="J72" s="427">
        <v>24</v>
      </c>
      <c r="K72" s="34"/>
      <c r="L72" s="479"/>
      <c r="M72" s="479"/>
      <c r="N72" s="479"/>
      <c r="O72" s="480"/>
      <c r="P72" s="361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3">
        <f>3*I72</f>
        <v>21</v>
      </c>
      <c r="S72" s="15">
        <f t="shared" si="1"/>
        <v>21</v>
      </c>
      <c r="T72" s="28">
        <f>IF(G72="",0,IF(ISERROR(R72+Q72*VLOOKUP(G72,Paramétrage!$D$6:$F$27,3,0))=TRUE,S72,R72+Q72*VLOOKUP(G72,Paramétrage!$D$6:$F$27,3,0)))</f>
        <v>21</v>
      </c>
      <c r="U72" s="37">
        <v>21</v>
      </c>
      <c r="V72" s="37"/>
      <c r="W72" s="37"/>
      <c r="X72" s="37"/>
      <c r="Y72" s="362">
        <f t="shared" si="18"/>
        <v>21</v>
      </c>
      <c r="Z72" s="478"/>
      <c r="AA72" s="479"/>
      <c r="AB72" s="480"/>
      <c r="AC72" s="440">
        <f t="shared" si="22"/>
        <v>60</v>
      </c>
      <c r="AD72" s="16">
        <f t="shared" si="19"/>
        <v>420</v>
      </c>
    </row>
    <row r="73" spans="1:30">
      <c r="A73" s="507"/>
      <c r="B73" s="428" t="s">
        <v>89</v>
      </c>
      <c r="C73" s="465" t="s">
        <v>91</v>
      </c>
      <c r="D73" s="48" t="s">
        <v>57</v>
      </c>
      <c r="E73" s="436" t="s">
        <v>35</v>
      </c>
      <c r="F73" s="424">
        <v>1</v>
      </c>
      <c r="G73" s="459" t="s">
        <v>43</v>
      </c>
      <c r="H73" s="430">
        <v>100</v>
      </c>
      <c r="I73" s="426">
        <f>+'Recettes et simulat'!$E$6-'Recettes et simulat'!$E$7</f>
        <v>17</v>
      </c>
      <c r="J73" s="427">
        <v>24</v>
      </c>
      <c r="K73" s="34"/>
      <c r="L73" s="479"/>
      <c r="M73" s="479"/>
      <c r="N73" s="479"/>
      <c r="O73" s="480"/>
      <c r="P73" s="361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3"/>
      <c r="S73" s="15">
        <f t="shared" si="1"/>
        <v>0</v>
      </c>
      <c r="T73" s="28">
        <f>IF(G73="",0,IF(ISERROR(R73+Q73*VLOOKUP(G73,Paramétrage!$D$6:$F$27,3,0))=TRUE,S73,R73+Q73*VLOOKUP(G73,Paramétrage!$D$6:$F$27,3,0)))</f>
        <v>0</v>
      </c>
      <c r="U73" s="37"/>
      <c r="V73" s="37"/>
      <c r="W73" s="37"/>
      <c r="X73" s="37"/>
      <c r="Y73" s="362">
        <f t="shared" si="18"/>
        <v>0</v>
      </c>
      <c r="Z73" s="478"/>
      <c r="AA73" s="479"/>
      <c r="AB73" s="480"/>
      <c r="AC73" s="440">
        <f t="shared" si="22"/>
        <v>100</v>
      </c>
      <c r="AD73" s="16">
        <f t="shared" ref="AD73:AD79" si="23">H73*I73</f>
        <v>1700</v>
      </c>
    </row>
    <row r="74" spans="1:30">
      <c r="A74" s="507"/>
      <c r="B74" s="432" t="s">
        <v>92</v>
      </c>
      <c r="C74" s="429" t="s">
        <v>63</v>
      </c>
      <c r="D74" s="461" t="s">
        <v>57</v>
      </c>
      <c r="E74" s="423" t="s">
        <v>35</v>
      </c>
      <c r="F74" s="424">
        <v>1</v>
      </c>
      <c r="G74" s="425" t="s">
        <v>64</v>
      </c>
      <c r="H74" s="430">
        <v>450</v>
      </c>
      <c r="I74" s="433">
        <f>+'Recettes et simulat'!$E$6-'Recettes et simulat'!$E$7</f>
        <v>17</v>
      </c>
      <c r="J74" s="427">
        <v>24</v>
      </c>
      <c r="K74" s="34"/>
      <c r="L74" s="481"/>
      <c r="M74" s="479"/>
      <c r="N74" s="479"/>
      <c r="O74" s="480"/>
      <c r="P74" s="361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3"/>
      <c r="S74" s="15">
        <f t="shared" si="1"/>
        <v>0</v>
      </c>
      <c r="T74" s="28">
        <f>IF(G74="",0,IF(ISERROR(R74+Q74*VLOOKUP(G74,Paramétrage!$D$6:$F$27,3,0))=TRUE,S74,R74+Q74*VLOOKUP(G74,Paramétrage!$D$6:$F$27,3,0)))</f>
        <v>0</v>
      </c>
      <c r="U74" s="37"/>
      <c r="V74" s="37"/>
      <c r="W74" s="37"/>
      <c r="X74" s="37"/>
      <c r="Y74" s="362">
        <f t="shared" si="18"/>
        <v>0</v>
      </c>
      <c r="Z74" s="478"/>
      <c r="AA74" s="479"/>
      <c r="AB74" s="480"/>
      <c r="AC74" s="440">
        <f t="shared" si="22"/>
        <v>450</v>
      </c>
      <c r="AD74" s="16">
        <f t="shared" si="23"/>
        <v>7650</v>
      </c>
    </row>
    <row r="75" spans="1:30">
      <c r="A75" s="507"/>
      <c r="B75" s="432" t="s">
        <v>93</v>
      </c>
      <c r="C75" s="429" t="s">
        <v>66</v>
      </c>
      <c r="D75" s="32" t="s">
        <v>55</v>
      </c>
      <c r="E75" s="423" t="s">
        <v>35</v>
      </c>
      <c r="F75" s="424">
        <v>1</v>
      </c>
      <c r="G75" s="455" t="s">
        <v>67</v>
      </c>
      <c r="H75" s="456"/>
      <c r="I75" s="433">
        <f>+'Recettes et simulat'!$E$7</f>
        <v>7</v>
      </c>
      <c r="J75" s="427">
        <v>24</v>
      </c>
      <c r="K75" s="34"/>
      <c r="L75" s="481"/>
      <c r="M75" s="479"/>
      <c r="N75" s="479"/>
      <c r="O75" s="480"/>
      <c r="P75" s="361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3">
        <f>3*I75</f>
        <v>21</v>
      </c>
      <c r="S75" s="15">
        <f t="shared" si="1"/>
        <v>21</v>
      </c>
      <c r="T75" s="28">
        <f>IF(G75="",0,IF(ISERROR(R75+Q75*VLOOKUP(G75,Paramétrage!$D$6:$F$27,3,0))=TRUE,S75,R75+Q75*VLOOKUP(G75,Paramétrage!$D$6:$F$27,3,0)))</f>
        <v>21</v>
      </c>
      <c r="U75" s="37">
        <v>12</v>
      </c>
      <c r="V75" s="37">
        <v>9</v>
      </c>
      <c r="W75" s="37"/>
      <c r="X75" s="37"/>
      <c r="Y75" s="362">
        <f t="shared" si="18"/>
        <v>21</v>
      </c>
      <c r="Z75" s="478"/>
      <c r="AA75" s="479"/>
      <c r="AB75" s="480"/>
      <c r="AC75" s="440">
        <f t="shared" si="22"/>
        <v>0</v>
      </c>
      <c r="AD75" s="16">
        <f t="shared" si="23"/>
        <v>0</v>
      </c>
    </row>
    <row r="76" spans="1:30">
      <c r="A76" s="507"/>
      <c r="B76" s="428" t="s">
        <v>94</v>
      </c>
      <c r="C76" s="465" t="s">
        <v>95</v>
      </c>
      <c r="D76" s="467" t="s">
        <v>34</v>
      </c>
      <c r="E76" s="468" t="s">
        <v>35</v>
      </c>
      <c r="F76" s="424">
        <v>1</v>
      </c>
      <c r="G76" s="469" t="s">
        <v>49</v>
      </c>
      <c r="H76" s="470">
        <v>18</v>
      </c>
      <c r="I76" s="426">
        <f>+'Recettes et simulat'!$E$6</f>
        <v>24</v>
      </c>
      <c r="J76" s="427">
        <v>24</v>
      </c>
      <c r="K76" s="34"/>
      <c r="L76" s="481"/>
      <c r="M76" s="479"/>
      <c r="N76" s="479"/>
      <c r="O76" s="480"/>
      <c r="P76" s="361">
        <f>IF(OR(J76="",G76=Paramétrage!$D$9,G76=Paramétrage!$D$12,G76=Paramétrage!$D$15,G76=Paramétrage!$D$18,G76=Paramétrage!$D$22,G76=Paramétrage!$D$25,AND(G76&lt;&gt;Paramétrage!$D$9,K76="Mut+ext")),0,ROUNDUP(I76/J76,0))</f>
        <v>1</v>
      </c>
      <c r="Q76" s="17">
        <f>IF(OR(G76="",K76="Mut+ext"),0,IF(VLOOKUP(G76,Paramétrage!$D$6:$F$27,3,0)=0,0,IF(J76="","saisir capacité",H76*P76*VLOOKUP(G76,Paramétrage!$D$6:$F$27,2,0))))</f>
        <v>18</v>
      </c>
      <c r="R76" s="33"/>
      <c r="S76" s="15">
        <f t="shared" ref="S76" si="24">IF(OR(G76="",K76="Mut+ext"),0,IF(ISERROR(Q76+R76)=TRUE,Q76,Q76+R76))</f>
        <v>18</v>
      </c>
      <c r="T76" s="28">
        <f>IF(G76="",0,IF(ISERROR(R76+Q76*VLOOKUP(G76,Paramétrage!$D$6:$F$27,3,0))=TRUE,S76,R76+Q76*VLOOKUP(G76,Paramétrage!$D$6:$F$27,3,0)))</f>
        <v>18</v>
      </c>
      <c r="U76" s="408">
        <f>S76</f>
        <v>18</v>
      </c>
      <c r="V76" s="37"/>
      <c r="W76" s="37"/>
      <c r="X76" s="37"/>
      <c r="Y76" s="362">
        <f t="shared" si="18"/>
        <v>18</v>
      </c>
      <c r="Z76" s="478"/>
      <c r="AA76" s="479"/>
      <c r="AB76" s="480"/>
      <c r="AC76" s="440">
        <f t="shared" ref="AC76" si="25">IF(B76="",0,IF(E76="",0,IF(SUMIF($B$55:$B$99,B76,$I$55:$I$99)=0,0,IF(E76="Obligatoire",AD76/I76,IF(F76="",AD76/SUMIF($B$55:$B$99,B76,$I$55:$I$99),AD76/(SUMIF($B$55:$B$99,B76,$I$55:$I$99)/F76))))))</f>
        <v>18</v>
      </c>
      <c r="AD76" s="16">
        <f t="shared" ref="AD76" si="26">H76*I76</f>
        <v>432</v>
      </c>
    </row>
    <row r="77" spans="1:30">
      <c r="A77" s="507"/>
      <c r="B77" s="51"/>
      <c r="C77" s="29"/>
      <c r="D77" s="29"/>
      <c r="E77" s="405"/>
      <c r="F77" s="30"/>
      <c r="G77" s="31"/>
      <c r="H77" s="40"/>
      <c r="I77" s="37"/>
      <c r="J77" s="44"/>
      <c r="K77" s="34"/>
      <c r="L77" s="479"/>
      <c r="M77" s="479"/>
      <c r="N77" s="479"/>
      <c r="O77" s="480"/>
      <c r="P77" s="361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3"/>
      <c r="S77" s="15">
        <f t="shared" si="1"/>
        <v>0</v>
      </c>
      <c r="T77" s="28">
        <f>IF(G77="",0,IF(ISERROR(R77+Q77*VLOOKUP(G77,Paramétrage!$D$6:$F$27,3,0))=TRUE,S77,R77+Q77*VLOOKUP(G77,Paramétrage!$D$6:$F$27,3,0)))</f>
        <v>0</v>
      </c>
      <c r="U77" s="39"/>
      <c r="V77" s="39"/>
      <c r="W77" s="39"/>
      <c r="X77" s="39"/>
      <c r="Y77" s="362">
        <f t="shared" si="18"/>
        <v>0</v>
      </c>
      <c r="Z77" s="478"/>
      <c r="AA77" s="479"/>
      <c r="AB77" s="480"/>
      <c r="AC77" s="440">
        <f t="shared" ref="AC77:AC99" si="27">IF(B77="",0,IF(E77="",0,IF(SUMIF($B$55:$B$99,B77,$I$55:$I$99)=0,0,IF(E77="Obligatoire",AD77/I77,IF(F77="",AD77/SUMIF($B$55:$B$99,B77,$I$55:$I$99),AD77/(SUMIF($B$55:$B$99,B77,$I$55:$I$99)/F77))))))</f>
        <v>0</v>
      </c>
      <c r="AD77" s="16">
        <f t="shared" si="23"/>
        <v>0</v>
      </c>
    </row>
    <row r="78" spans="1:30" hidden="1">
      <c r="A78" s="507"/>
      <c r="B78" s="51"/>
      <c r="C78" s="29"/>
      <c r="D78" s="48"/>
      <c r="E78" s="32"/>
      <c r="F78" s="30"/>
      <c r="G78" s="31"/>
      <c r="H78" s="40"/>
      <c r="I78" s="37"/>
      <c r="J78" s="44"/>
      <c r="K78" s="34"/>
      <c r="L78" s="479"/>
      <c r="M78" s="479"/>
      <c r="N78" s="479"/>
      <c r="O78" s="480"/>
      <c r="P78" s="361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3"/>
      <c r="S78" s="15">
        <f t="shared" si="1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2">
        <f t="shared" si="18"/>
        <v>0</v>
      </c>
      <c r="Z78" s="478"/>
      <c r="AA78" s="479"/>
      <c r="AB78" s="480"/>
      <c r="AC78" s="440">
        <f t="shared" si="27"/>
        <v>0</v>
      </c>
      <c r="AD78" s="16">
        <f t="shared" si="23"/>
        <v>0</v>
      </c>
    </row>
    <row r="79" spans="1:30" ht="16.149999999999999" hidden="1" thickBot="1">
      <c r="A79" s="507"/>
      <c r="B79" s="387"/>
      <c r="C79" s="32"/>
      <c r="D79" s="403"/>
      <c r="E79" s="29"/>
      <c r="F79" s="30"/>
      <c r="G79" s="31"/>
      <c r="H79" s="386"/>
      <c r="I79" s="38"/>
      <c r="J79" s="44"/>
      <c r="K79" s="34"/>
      <c r="L79" s="479"/>
      <c r="M79" s="479"/>
      <c r="N79" s="479"/>
      <c r="O79" s="480"/>
      <c r="P79" s="361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81"/>
      <c r="S79" s="382">
        <f t="shared" si="1"/>
        <v>0</v>
      </c>
      <c r="T79" s="383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84">
        <f t="shared" si="18"/>
        <v>0</v>
      </c>
      <c r="Z79" s="478"/>
      <c r="AA79" s="479"/>
      <c r="AB79" s="480"/>
      <c r="AC79" s="440">
        <f t="shared" si="27"/>
        <v>0</v>
      </c>
      <c r="AD79" s="16">
        <f t="shared" si="23"/>
        <v>0</v>
      </c>
    </row>
    <row r="80" spans="1:30" hidden="1">
      <c r="A80" s="507"/>
      <c r="B80" s="51"/>
      <c r="C80" s="29"/>
      <c r="D80" s="29"/>
      <c r="E80" s="401"/>
      <c r="F80" s="30"/>
      <c r="G80" s="377"/>
      <c r="H80" s="378"/>
      <c r="I80" s="37"/>
      <c r="J80" s="379"/>
      <c r="K80" s="380"/>
      <c r="L80" s="486"/>
      <c r="M80" s="486"/>
      <c r="N80" s="486"/>
      <c r="O80" s="487"/>
      <c r="P80" s="371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72"/>
      <c r="S80" s="15">
        <f t="shared" si="1"/>
        <v>0</v>
      </c>
      <c r="T80" s="28">
        <f>IF(G80="",0,IF(ISERROR(R80+Q80*VLOOKUP(G80,Paramétrage!$D$6:$F$27,3,0))=TRUE,S80,R80+Q80*VLOOKUP(G80,Paramétrage!$D$6:$F$27,3,0)))</f>
        <v>0</v>
      </c>
      <c r="U80" s="37"/>
      <c r="V80" s="37"/>
      <c r="W80" s="37"/>
      <c r="X80" s="37"/>
      <c r="Y80" s="362">
        <f>SUM(U80:X80)</f>
        <v>0</v>
      </c>
      <c r="Z80" s="485"/>
      <c r="AA80" s="486"/>
      <c r="AB80" s="487"/>
      <c r="AC80" s="440">
        <f t="shared" si="27"/>
        <v>0</v>
      </c>
      <c r="AD80" s="57">
        <f>H80*I80</f>
        <v>0</v>
      </c>
    </row>
    <row r="81" spans="1:30" hidden="1">
      <c r="A81" s="507"/>
      <c r="B81" s="51"/>
      <c r="C81" s="29"/>
      <c r="D81" s="48"/>
      <c r="E81" s="32"/>
      <c r="F81" s="30"/>
      <c r="G81" s="31"/>
      <c r="H81" s="40"/>
      <c r="I81" s="37"/>
      <c r="J81" s="44"/>
      <c r="K81" s="34"/>
      <c r="L81" s="479"/>
      <c r="M81" s="479"/>
      <c r="N81" s="479"/>
      <c r="O81" s="480"/>
      <c r="P81" s="361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3"/>
      <c r="S81" s="15">
        <f t="shared" si="1"/>
        <v>0</v>
      </c>
      <c r="T81" s="28">
        <f>IF(G81="",0,IF(ISERROR(R81+Q81*VLOOKUP(G81,Paramétrage!$D$6:$F$27,3,0))=TRUE,S81,R81+Q81*VLOOKUP(G81,Paramétrage!$D$6:$F$27,3,0)))</f>
        <v>0</v>
      </c>
      <c r="U81" s="37"/>
      <c r="V81" s="37"/>
      <c r="W81" s="37"/>
      <c r="X81" s="37"/>
      <c r="Y81" s="362">
        <f t="shared" ref="Y81:Y99" si="28">SUM(U81:X81)</f>
        <v>0</v>
      </c>
      <c r="Z81" s="478"/>
      <c r="AA81" s="479"/>
      <c r="AB81" s="480"/>
      <c r="AC81" s="440">
        <f t="shared" si="27"/>
        <v>0</v>
      </c>
      <c r="AD81" s="16">
        <f>H81*I81</f>
        <v>0</v>
      </c>
    </row>
    <row r="82" spans="1:30" hidden="1">
      <c r="A82" s="507"/>
      <c r="B82" s="51"/>
      <c r="C82" s="29"/>
      <c r="D82" s="48"/>
      <c r="E82" s="32"/>
      <c r="F82" s="30"/>
      <c r="G82" s="31"/>
      <c r="H82" s="40"/>
      <c r="I82" s="37"/>
      <c r="J82" s="44"/>
      <c r="K82" s="34"/>
      <c r="L82" s="479"/>
      <c r="M82" s="479"/>
      <c r="N82" s="479"/>
      <c r="O82" s="480"/>
      <c r="P82" s="361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3"/>
      <c r="S82" s="15">
        <f t="shared" ref="S82:S99" si="29">IF(OR(G82="",K82="Mut+ext"),0,IF(ISERROR(Q82+R82)=TRUE,Q82,Q82+R82))</f>
        <v>0</v>
      </c>
      <c r="T82" s="28">
        <f>IF(G82="",0,IF(ISERROR(R82+Q82*VLOOKUP(G82,Paramétrage!$D$6:$F$27,3,0))=TRUE,S82,R82+Q82*VLOOKUP(G82,Paramétrage!$D$6:$F$27,3,0)))</f>
        <v>0</v>
      </c>
      <c r="U82" s="37"/>
      <c r="V82" s="37"/>
      <c r="W82" s="37"/>
      <c r="X82" s="37"/>
      <c r="Y82" s="362">
        <f t="shared" si="28"/>
        <v>0</v>
      </c>
      <c r="Z82" s="478"/>
      <c r="AA82" s="479"/>
      <c r="AB82" s="480"/>
      <c r="AC82" s="440">
        <f t="shared" si="27"/>
        <v>0</v>
      </c>
      <c r="AD82" s="16">
        <f>H82*I82</f>
        <v>0</v>
      </c>
    </row>
    <row r="83" spans="1:30" hidden="1">
      <c r="A83" s="507"/>
      <c r="B83" s="51"/>
      <c r="C83" s="29"/>
      <c r="D83" s="405"/>
      <c r="E83" s="404"/>
      <c r="F83" s="30"/>
      <c r="G83" s="31"/>
      <c r="H83" s="40"/>
      <c r="I83" s="37"/>
      <c r="J83" s="44"/>
      <c r="K83" s="34"/>
      <c r="L83" s="479"/>
      <c r="M83" s="479"/>
      <c r="N83" s="479"/>
      <c r="O83" s="480"/>
      <c r="P83" s="361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3"/>
      <c r="S83" s="15">
        <f t="shared" si="29"/>
        <v>0</v>
      </c>
      <c r="T83" s="28">
        <f>IF(G83="",0,IF(ISERROR(R83+Q83*VLOOKUP(G83,Paramétrage!$D$6:$F$27,3,0))=TRUE,S83,R83+Q83*VLOOKUP(G83,Paramétrage!$D$6:$F$27,3,0)))</f>
        <v>0</v>
      </c>
      <c r="U83" s="37"/>
      <c r="V83" s="37"/>
      <c r="W83" s="37"/>
      <c r="X83" s="37"/>
      <c r="Y83" s="362">
        <f t="shared" si="28"/>
        <v>0</v>
      </c>
      <c r="Z83" s="478"/>
      <c r="AA83" s="479"/>
      <c r="AB83" s="480"/>
      <c r="AC83" s="440">
        <f t="shared" si="27"/>
        <v>0</v>
      </c>
      <c r="AD83" s="16">
        <f t="shared" ref="AD83:AD95" si="30">H83*I83</f>
        <v>0</v>
      </c>
    </row>
    <row r="84" spans="1:30" hidden="1">
      <c r="A84" s="507"/>
      <c r="B84" s="51"/>
      <c r="C84" s="29"/>
      <c r="D84" s="405"/>
      <c r="E84" s="48"/>
      <c r="F84" s="30"/>
      <c r="G84" s="31"/>
      <c r="H84" s="40"/>
      <c r="I84" s="37"/>
      <c r="J84" s="44"/>
      <c r="K84" s="34"/>
      <c r="L84" s="479"/>
      <c r="M84" s="479"/>
      <c r="N84" s="479"/>
      <c r="O84" s="480"/>
      <c r="P84" s="361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3"/>
      <c r="S84" s="15">
        <f t="shared" si="29"/>
        <v>0</v>
      </c>
      <c r="T84" s="28">
        <f>IF(G84="",0,IF(ISERROR(R84+Q84*VLOOKUP(G84,Paramétrage!$D$6:$F$27,3,0))=TRUE,S84,R84+Q84*VLOOKUP(G84,Paramétrage!$D$6:$F$27,3,0)))</f>
        <v>0</v>
      </c>
      <c r="U84" s="37"/>
      <c r="V84" s="37"/>
      <c r="W84" s="37"/>
      <c r="X84" s="37"/>
      <c r="Y84" s="362">
        <f t="shared" si="28"/>
        <v>0</v>
      </c>
      <c r="Z84" s="478"/>
      <c r="AA84" s="479"/>
      <c r="AB84" s="480"/>
      <c r="AC84" s="440">
        <f t="shared" si="27"/>
        <v>0</v>
      </c>
      <c r="AD84" s="16">
        <f t="shared" si="30"/>
        <v>0</v>
      </c>
    </row>
    <row r="85" spans="1:30" hidden="1">
      <c r="A85" s="507"/>
      <c r="B85" s="51"/>
      <c r="C85" s="29"/>
      <c r="D85" s="405"/>
      <c r="E85" s="48"/>
      <c r="F85" s="30"/>
      <c r="G85" s="31"/>
      <c r="H85" s="40"/>
      <c r="I85" s="37"/>
      <c r="J85" s="44"/>
      <c r="K85" s="34"/>
      <c r="L85" s="479"/>
      <c r="M85" s="479"/>
      <c r="N85" s="479"/>
      <c r="O85" s="480"/>
      <c r="P85" s="361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3"/>
      <c r="S85" s="15">
        <f t="shared" si="29"/>
        <v>0</v>
      </c>
      <c r="T85" s="28">
        <f>IF(G85="",0,IF(ISERROR(R85+Q85*VLOOKUP(G85,Paramétrage!$D$6:$F$27,3,0))=TRUE,S85,R85+Q85*VLOOKUP(G85,Paramétrage!$D$6:$F$27,3,0)))</f>
        <v>0</v>
      </c>
      <c r="U85" s="37"/>
      <c r="V85" s="37"/>
      <c r="W85" s="37"/>
      <c r="X85" s="37"/>
      <c r="Y85" s="362">
        <f t="shared" si="28"/>
        <v>0</v>
      </c>
      <c r="Z85" s="478"/>
      <c r="AA85" s="479"/>
      <c r="AB85" s="480"/>
      <c r="AC85" s="440">
        <f t="shared" si="27"/>
        <v>0</v>
      </c>
      <c r="AD85" s="16">
        <f t="shared" si="30"/>
        <v>0</v>
      </c>
    </row>
    <row r="86" spans="1:30" hidden="1">
      <c r="A86" s="507"/>
      <c r="B86" s="51"/>
      <c r="C86" s="29"/>
      <c r="D86" s="405"/>
      <c r="E86" s="48"/>
      <c r="F86" s="30"/>
      <c r="G86" s="31"/>
      <c r="H86" s="40"/>
      <c r="I86" s="37"/>
      <c r="J86" s="44"/>
      <c r="K86" s="34"/>
      <c r="L86" s="479"/>
      <c r="M86" s="479"/>
      <c r="N86" s="479"/>
      <c r="O86" s="480"/>
      <c r="P86" s="361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3"/>
      <c r="S86" s="15">
        <f t="shared" si="29"/>
        <v>0</v>
      </c>
      <c r="T86" s="28">
        <f>IF(G86="",0,IF(ISERROR(R86+Q86*VLOOKUP(G86,Paramétrage!$D$6:$F$27,3,0))=TRUE,S86,R86+Q86*VLOOKUP(G86,Paramétrage!$D$6:$F$27,3,0)))</f>
        <v>0</v>
      </c>
      <c r="U86" s="37"/>
      <c r="V86" s="37"/>
      <c r="W86" s="37"/>
      <c r="X86" s="37"/>
      <c r="Y86" s="362">
        <f t="shared" si="28"/>
        <v>0</v>
      </c>
      <c r="Z86" s="478"/>
      <c r="AA86" s="479"/>
      <c r="AB86" s="480"/>
      <c r="AC86" s="440">
        <f t="shared" si="27"/>
        <v>0</v>
      </c>
      <c r="AD86" s="16">
        <f t="shared" si="30"/>
        <v>0</v>
      </c>
    </row>
    <row r="87" spans="1:30" hidden="1">
      <c r="A87" s="507"/>
      <c r="B87" s="51"/>
      <c r="C87" s="29"/>
      <c r="D87" s="405"/>
      <c r="E87" s="48"/>
      <c r="F87" s="30"/>
      <c r="G87" s="31"/>
      <c r="H87" s="40"/>
      <c r="I87" s="37"/>
      <c r="J87" s="44"/>
      <c r="K87" s="34"/>
      <c r="L87" s="479"/>
      <c r="M87" s="479"/>
      <c r="N87" s="479"/>
      <c r="O87" s="480"/>
      <c r="P87" s="361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3"/>
      <c r="S87" s="15">
        <f t="shared" si="29"/>
        <v>0</v>
      </c>
      <c r="T87" s="28">
        <f>IF(G87="",0,IF(ISERROR(R87+Q87*VLOOKUP(G87,Paramétrage!$D$6:$F$27,3,0))=TRUE,S87,R87+Q87*VLOOKUP(G87,Paramétrage!$D$6:$F$27,3,0)))</f>
        <v>0</v>
      </c>
      <c r="U87" s="37"/>
      <c r="V87" s="37"/>
      <c r="W87" s="37"/>
      <c r="X87" s="37"/>
      <c r="Y87" s="362">
        <f t="shared" si="28"/>
        <v>0</v>
      </c>
      <c r="Z87" s="478"/>
      <c r="AA87" s="479"/>
      <c r="AB87" s="480"/>
      <c r="AC87" s="440">
        <f t="shared" si="27"/>
        <v>0</v>
      </c>
      <c r="AD87" s="16">
        <f t="shared" si="30"/>
        <v>0</v>
      </c>
    </row>
    <row r="88" spans="1:30" hidden="1">
      <c r="A88" s="507"/>
      <c r="B88" s="51"/>
      <c r="C88" s="29"/>
      <c r="D88" s="405"/>
      <c r="E88" s="48"/>
      <c r="F88" s="30"/>
      <c r="G88" s="31"/>
      <c r="H88" s="40"/>
      <c r="I88" s="37"/>
      <c r="J88" s="44"/>
      <c r="K88" s="34"/>
      <c r="L88" s="479"/>
      <c r="M88" s="479"/>
      <c r="N88" s="479"/>
      <c r="O88" s="480"/>
      <c r="P88" s="361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3"/>
      <c r="S88" s="15">
        <f t="shared" si="29"/>
        <v>0</v>
      </c>
      <c r="T88" s="28">
        <f>IF(G88="",0,IF(ISERROR(R88+Q88*VLOOKUP(G88,Paramétrage!$D$6:$F$27,3,0))=TRUE,S88,R88+Q88*VLOOKUP(G88,Paramétrage!$D$6:$F$27,3,0)))</f>
        <v>0</v>
      </c>
      <c r="U88" s="37"/>
      <c r="V88" s="37"/>
      <c r="W88" s="37"/>
      <c r="X88" s="37"/>
      <c r="Y88" s="362">
        <f t="shared" si="28"/>
        <v>0</v>
      </c>
      <c r="Z88" s="478"/>
      <c r="AA88" s="479"/>
      <c r="AB88" s="480"/>
      <c r="AC88" s="440">
        <f t="shared" si="27"/>
        <v>0</v>
      </c>
      <c r="AD88" s="16">
        <f t="shared" si="30"/>
        <v>0</v>
      </c>
    </row>
    <row r="89" spans="1:30" hidden="1">
      <c r="A89" s="507"/>
      <c r="B89" s="51"/>
      <c r="C89" s="29"/>
      <c r="D89" s="405"/>
      <c r="E89" s="48"/>
      <c r="F89" s="30"/>
      <c r="G89" s="31"/>
      <c r="H89" s="40"/>
      <c r="I89" s="37"/>
      <c r="J89" s="44"/>
      <c r="K89" s="34"/>
      <c r="L89" s="479"/>
      <c r="M89" s="479"/>
      <c r="N89" s="479"/>
      <c r="O89" s="480"/>
      <c r="P89" s="361">
        <f>IF(OR(J89="",G89=Paramétrage!$D$9,G89=Paramétrage!$D$12,G89=Paramétrage!$D$15,G89=Paramétrage!$D$18,G89=Paramétrage!$D$22,G89=Paramétrage!$D$25,AND(G89&lt;&gt;Paramétrage!$D$9,K89="Mut+ext")),0,ROUNDUP(I89/J89,0))</f>
        <v>0</v>
      </c>
      <c r="Q89" s="17">
        <f>IF(OR(G89="",K89="Mut+ext"),0,IF(VLOOKUP(G89,Paramétrage!$D$6:$F$27,3,0)=0,0,IF(J89="","saisir capacité",H89*P89*VLOOKUP(G89,Paramétrage!$D$6:$F$27,2,0))))</f>
        <v>0</v>
      </c>
      <c r="R89" s="33"/>
      <c r="S89" s="15">
        <f t="shared" si="29"/>
        <v>0</v>
      </c>
      <c r="T89" s="28">
        <f>IF(G89="",0,IF(ISERROR(R89+Q89*VLOOKUP(G89,Paramétrage!$D$6:$F$27,3,0))=TRUE,S89,R89+Q89*VLOOKUP(G89,Paramétrage!$D$6:$F$27,3,0)))</f>
        <v>0</v>
      </c>
      <c r="U89" s="37"/>
      <c r="V89" s="37"/>
      <c r="W89" s="37"/>
      <c r="X89" s="37"/>
      <c r="Y89" s="362">
        <f t="shared" si="28"/>
        <v>0</v>
      </c>
      <c r="Z89" s="478"/>
      <c r="AA89" s="479"/>
      <c r="AB89" s="480"/>
      <c r="AC89" s="440">
        <f t="shared" si="27"/>
        <v>0</v>
      </c>
      <c r="AD89" s="16">
        <f t="shared" si="30"/>
        <v>0</v>
      </c>
    </row>
    <row r="90" spans="1:30" hidden="1">
      <c r="A90" s="507"/>
      <c r="B90" s="51"/>
      <c r="C90" s="29"/>
      <c r="D90" s="405"/>
      <c r="E90" s="48"/>
      <c r="F90" s="30"/>
      <c r="G90" s="31"/>
      <c r="H90" s="40"/>
      <c r="I90" s="37"/>
      <c r="J90" s="44"/>
      <c r="K90" s="34"/>
      <c r="L90" s="479"/>
      <c r="M90" s="479"/>
      <c r="N90" s="479"/>
      <c r="O90" s="480"/>
      <c r="P90" s="361">
        <f>IF(OR(J90="",G90=Paramétrage!$D$9,G90=Paramétrage!$D$12,G90=Paramétrage!$D$15,G90=Paramétrage!$D$18,G90=Paramétrage!$D$22,G90=Paramétrage!$D$25,AND(G90&lt;&gt;Paramétrage!$D$9,K90="Mut+ext")),0,ROUNDUP(I90/J90,0))</f>
        <v>0</v>
      </c>
      <c r="Q90" s="17">
        <f>IF(OR(G90="",K90="Mut+ext"),0,IF(VLOOKUP(G90,Paramétrage!$D$6:$F$27,3,0)=0,0,IF(J90="","saisir capacité",H90*P90*VLOOKUP(G90,Paramétrage!$D$6:$F$27,2,0))))</f>
        <v>0</v>
      </c>
      <c r="R90" s="33"/>
      <c r="S90" s="15">
        <f t="shared" si="29"/>
        <v>0</v>
      </c>
      <c r="T90" s="28">
        <f>IF(G90="",0,IF(ISERROR(R90+Q90*VLOOKUP(G90,Paramétrage!$D$6:$F$27,3,0))=TRUE,S90,R90+Q90*VLOOKUP(G90,Paramétrage!$D$6:$F$27,3,0)))</f>
        <v>0</v>
      </c>
      <c r="U90" s="37"/>
      <c r="V90" s="37"/>
      <c r="W90" s="37"/>
      <c r="X90" s="37"/>
      <c r="Y90" s="362">
        <f t="shared" si="28"/>
        <v>0</v>
      </c>
      <c r="Z90" s="478"/>
      <c r="AA90" s="479"/>
      <c r="AB90" s="480"/>
      <c r="AC90" s="440">
        <f t="shared" si="27"/>
        <v>0</v>
      </c>
      <c r="AD90" s="16">
        <f t="shared" si="30"/>
        <v>0</v>
      </c>
    </row>
    <row r="91" spans="1:30" hidden="1">
      <c r="A91" s="507"/>
      <c r="B91" s="51"/>
      <c r="C91" s="29"/>
      <c r="D91" s="405"/>
      <c r="E91" s="48"/>
      <c r="F91" s="30"/>
      <c r="G91" s="31"/>
      <c r="H91" s="40"/>
      <c r="I91" s="37"/>
      <c r="J91" s="44"/>
      <c r="K91" s="34"/>
      <c r="L91" s="479"/>
      <c r="M91" s="479"/>
      <c r="N91" s="479"/>
      <c r="O91" s="480"/>
      <c r="P91" s="361">
        <f>IF(OR(J91="",G91=Paramétrage!$D$9,G91=Paramétrage!$D$12,G91=Paramétrage!$D$15,G91=Paramétrage!$D$18,G91=Paramétrage!$D$22,G91=Paramétrage!$D$25,AND(G91&lt;&gt;Paramétrage!$D$9,K91="Mut+ext")),0,ROUNDUP(I91/J91,0))</f>
        <v>0</v>
      </c>
      <c r="Q91" s="17">
        <f>IF(OR(G91="",K91="Mut+ext"),0,IF(VLOOKUP(G91,Paramétrage!$D$6:$F$27,3,0)=0,0,IF(J91="","saisir capacité",H91*P91*VLOOKUP(G91,Paramétrage!$D$6:$F$27,2,0))))</f>
        <v>0</v>
      </c>
      <c r="R91" s="33"/>
      <c r="S91" s="15">
        <f t="shared" si="29"/>
        <v>0</v>
      </c>
      <c r="T91" s="28">
        <f>IF(G91="",0,IF(ISERROR(R91+Q91*VLOOKUP(G91,Paramétrage!$D$6:$F$27,3,0))=TRUE,S91,R91+Q91*VLOOKUP(G91,Paramétrage!$D$6:$F$27,3,0)))</f>
        <v>0</v>
      </c>
      <c r="U91" s="37"/>
      <c r="V91" s="37"/>
      <c r="W91" s="37"/>
      <c r="X91" s="37"/>
      <c r="Y91" s="362">
        <f t="shared" si="28"/>
        <v>0</v>
      </c>
      <c r="Z91" s="478"/>
      <c r="AA91" s="479"/>
      <c r="AB91" s="480"/>
      <c r="AC91" s="440">
        <f t="shared" si="27"/>
        <v>0</v>
      </c>
      <c r="AD91" s="16">
        <f t="shared" si="30"/>
        <v>0</v>
      </c>
    </row>
    <row r="92" spans="1:30" hidden="1">
      <c r="A92" s="507"/>
      <c r="B92" s="51"/>
      <c r="C92" s="29"/>
      <c r="D92" s="405"/>
      <c r="E92" s="48"/>
      <c r="F92" s="30"/>
      <c r="G92" s="31"/>
      <c r="H92" s="40"/>
      <c r="I92" s="37"/>
      <c r="J92" s="44"/>
      <c r="K92" s="34"/>
      <c r="L92" s="479"/>
      <c r="M92" s="479"/>
      <c r="N92" s="479"/>
      <c r="O92" s="480"/>
      <c r="P92" s="361">
        <f>IF(OR(J92="",G92=Paramétrage!$D$9,G92=Paramétrage!$D$12,G92=Paramétrage!$D$15,G92=Paramétrage!$D$18,G92=Paramétrage!$D$22,G92=Paramétrage!$D$25,AND(G92&lt;&gt;Paramétrage!$D$9,K92="Mut+ext")),0,ROUNDUP(I92/J92,0))</f>
        <v>0</v>
      </c>
      <c r="Q92" s="17">
        <f>IF(OR(G92="",K92="Mut+ext"),0,IF(VLOOKUP(G92,Paramétrage!$D$6:$F$27,3,0)=0,0,IF(J92="","saisir capacité",H92*P92*VLOOKUP(G92,Paramétrage!$D$6:$F$27,2,0))))</f>
        <v>0</v>
      </c>
      <c r="R92" s="33"/>
      <c r="S92" s="15">
        <f t="shared" si="29"/>
        <v>0</v>
      </c>
      <c r="T92" s="28">
        <f>IF(G92="",0,IF(ISERROR(R92+Q92*VLOOKUP(G92,Paramétrage!$D$6:$F$27,3,0))=TRUE,S92,R92+Q92*VLOOKUP(G92,Paramétrage!$D$6:$F$27,3,0)))</f>
        <v>0</v>
      </c>
      <c r="U92" s="37"/>
      <c r="V92" s="37"/>
      <c r="W92" s="37"/>
      <c r="X92" s="37"/>
      <c r="Y92" s="362">
        <f t="shared" si="28"/>
        <v>0</v>
      </c>
      <c r="Z92" s="478"/>
      <c r="AA92" s="479"/>
      <c r="AB92" s="480"/>
      <c r="AC92" s="440">
        <f t="shared" si="27"/>
        <v>0</v>
      </c>
      <c r="AD92" s="16">
        <f t="shared" si="30"/>
        <v>0</v>
      </c>
    </row>
    <row r="93" spans="1:30" hidden="1">
      <c r="A93" s="507"/>
      <c r="B93" s="51"/>
      <c r="C93" s="29"/>
      <c r="D93" s="405"/>
      <c r="E93" s="48"/>
      <c r="F93" s="30"/>
      <c r="G93" s="31"/>
      <c r="H93" s="40"/>
      <c r="I93" s="37"/>
      <c r="J93" s="44"/>
      <c r="K93" s="34"/>
      <c r="L93" s="479"/>
      <c r="M93" s="479"/>
      <c r="N93" s="479"/>
      <c r="O93" s="480"/>
      <c r="P93" s="361">
        <f>IF(OR(J93="",G93=Paramétrage!$D$9,G93=Paramétrage!$D$12,G93=Paramétrage!$D$15,G93=Paramétrage!$D$18,G93=Paramétrage!$D$22,G93=Paramétrage!$D$25,AND(G93&lt;&gt;Paramétrage!$D$9,K93="Mut+ext")),0,ROUNDUP(I93/J93,0))</f>
        <v>0</v>
      </c>
      <c r="Q93" s="17">
        <f>IF(OR(G93="",K93="Mut+ext"),0,IF(VLOOKUP(G93,Paramétrage!$D$6:$F$27,3,0)=0,0,IF(J93="","saisir capacité",H93*P93*VLOOKUP(G93,Paramétrage!$D$6:$F$27,2,0))))</f>
        <v>0</v>
      </c>
      <c r="R93" s="33"/>
      <c r="S93" s="15">
        <f t="shared" si="29"/>
        <v>0</v>
      </c>
      <c r="T93" s="28">
        <f>IF(G93="",0,IF(ISERROR(R93+Q93*VLOOKUP(G93,Paramétrage!$D$6:$F$27,3,0))=TRUE,S93,R93+Q93*VLOOKUP(G93,Paramétrage!$D$6:$F$27,3,0)))</f>
        <v>0</v>
      </c>
      <c r="U93" s="37"/>
      <c r="V93" s="37"/>
      <c r="W93" s="37"/>
      <c r="X93" s="37"/>
      <c r="Y93" s="362">
        <f t="shared" si="28"/>
        <v>0</v>
      </c>
      <c r="Z93" s="478"/>
      <c r="AA93" s="479"/>
      <c r="AB93" s="480"/>
      <c r="AC93" s="440">
        <f t="shared" si="27"/>
        <v>0</v>
      </c>
      <c r="AD93" s="16">
        <f t="shared" si="30"/>
        <v>0</v>
      </c>
    </row>
    <row r="94" spans="1:30" hidden="1">
      <c r="A94" s="507"/>
      <c r="B94" s="51"/>
      <c r="C94" s="29"/>
      <c r="D94" s="405"/>
      <c r="E94" s="48"/>
      <c r="F94" s="30"/>
      <c r="G94" s="31"/>
      <c r="H94" s="40"/>
      <c r="I94" s="37"/>
      <c r="J94" s="44"/>
      <c r="K94" s="34"/>
      <c r="L94" s="479"/>
      <c r="M94" s="479"/>
      <c r="N94" s="479"/>
      <c r="O94" s="480"/>
      <c r="P94" s="361">
        <f>IF(OR(J94="",G94=Paramétrage!$D$9,G94=Paramétrage!$D$12,G94=Paramétrage!$D$15,G94=Paramétrage!$D$18,G94=Paramétrage!$D$22,G94=Paramétrage!$D$25,AND(G94&lt;&gt;Paramétrage!$D$9,K94="Mut+ext")),0,ROUNDUP(I94/J94,0))</f>
        <v>0</v>
      </c>
      <c r="Q94" s="17">
        <f>IF(OR(G94="",K94="Mut+ext"),0,IF(VLOOKUP(G94,Paramétrage!$D$6:$F$27,3,0)=0,0,IF(J94="","saisir capacité",H94*P94*VLOOKUP(G94,Paramétrage!$D$6:$F$27,2,0))))</f>
        <v>0</v>
      </c>
      <c r="R94" s="33"/>
      <c r="S94" s="15">
        <f t="shared" si="29"/>
        <v>0</v>
      </c>
      <c r="T94" s="28">
        <f>IF(G94="",0,IF(ISERROR(R94+Q94*VLOOKUP(G94,Paramétrage!$D$6:$F$27,3,0))=TRUE,S94,R94+Q94*VLOOKUP(G94,Paramétrage!$D$6:$F$27,3,0)))</f>
        <v>0</v>
      </c>
      <c r="U94" s="37"/>
      <c r="V94" s="37"/>
      <c r="W94" s="37"/>
      <c r="X94" s="37"/>
      <c r="Y94" s="362">
        <f t="shared" si="28"/>
        <v>0</v>
      </c>
      <c r="Z94" s="478"/>
      <c r="AA94" s="479"/>
      <c r="AB94" s="480"/>
      <c r="AC94" s="440">
        <f t="shared" si="27"/>
        <v>0</v>
      </c>
      <c r="AD94" s="16">
        <f t="shared" si="30"/>
        <v>0</v>
      </c>
    </row>
    <row r="95" spans="1:30" hidden="1">
      <c r="A95" s="507"/>
      <c r="B95" s="51"/>
      <c r="C95" s="29"/>
      <c r="D95" s="405"/>
      <c r="E95" s="48"/>
      <c r="F95" s="30"/>
      <c r="G95" s="31"/>
      <c r="H95" s="40"/>
      <c r="I95" s="37"/>
      <c r="J95" s="44"/>
      <c r="K95" s="34"/>
      <c r="L95" s="479"/>
      <c r="M95" s="479"/>
      <c r="N95" s="479"/>
      <c r="O95" s="480"/>
      <c r="P95" s="361">
        <f>IF(OR(J95="",G95=Paramétrage!$D$9,G95=Paramétrage!$D$12,G95=Paramétrage!$D$15,G95=Paramétrage!$D$18,G95=Paramétrage!$D$22,G95=Paramétrage!$D$25,AND(G95&lt;&gt;Paramétrage!$D$9,K95="Mut+ext")),0,ROUNDUP(I95/J95,0))</f>
        <v>0</v>
      </c>
      <c r="Q95" s="17">
        <f>IF(OR(G95="",K95="Mut+ext"),0,IF(VLOOKUP(G95,Paramétrage!$D$6:$F$27,3,0)=0,0,IF(J95="","saisir capacité",H95*P95*VLOOKUP(G95,Paramétrage!$D$6:$F$27,2,0))))</f>
        <v>0</v>
      </c>
      <c r="R95" s="33"/>
      <c r="S95" s="15">
        <f t="shared" si="29"/>
        <v>0</v>
      </c>
      <c r="T95" s="28">
        <f>IF(G95="",0,IF(ISERROR(R95+Q95*VLOOKUP(G95,Paramétrage!$D$6:$F$27,3,0))=TRUE,S95,R95+Q95*VLOOKUP(G95,Paramétrage!$D$6:$F$27,3,0)))</f>
        <v>0</v>
      </c>
      <c r="U95" s="37"/>
      <c r="V95" s="37"/>
      <c r="W95" s="37"/>
      <c r="X95" s="37"/>
      <c r="Y95" s="362">
        <f t="shared" si="28"/>
        <v>0</v>
      </c>
      <c r="Z95" s="478"/>
      <c r="AA95" s="479"/>
      <c r="AB95" s="480"/>
      <c r="AC95" s="440">
        <f t="shared" si="27"/>
        <v>0</v>
      </c>
      <c r="AD95" s="16">
        <f t="shared" si="30"/>
        <v>0</v>
      </c>
    </row>
    <row r="96" spans="1:30" hidden="1">
      <c r="A96" s="507"/>
      <c r="B96" s="51"/>
      <c r="C96" s="29"/>
      <c r="D96" s="405"/>
      <c r="E96" s="48"/>
      <c r="F96" s="30"/>
      <c r="G96" s="31"/>
      <c r="H96" s="40"/>
      <c r="I96" s="37"/>
      <c r="J96" s="44"/>
      <c r="K96" s="34"/>
      <c r="L96" s="479"/>
      <c r="M96" s="479"/>
      <c r="N96" s="479"/>
      <c r="O96" s="480"/>
      <c r="P96" s="361">
        <f>IF(OR(J96="",G96=Paramétrage!$D$9,G96=Paramétrage!$D$12,G96=Paramétrage!$D$15,G96=Paramétrage!$D$18,G96=Paramétrage!$D$22,G96=Paramétrage!$D$25,AND(G96&lt;&gt;Paramétrage!$D$9,K96="Mut+ext")),0,ROUNDUP(I96/J96,0))</f>
        <v>0</v>
      </c>
      <c r="Q96" s="17">
        <f>IF(OR(G96="",K96="Mut+ext"),0,IF(VLOOKUP(G96,Paramétrage!$D$6:$F$27,3,0)=0,0,IF(J96="","saisir capacité",H96*P96*VLOOKUP(G96,Paramétrage!$D$6:$F$27,2,0))))</f>
        <v>0</v>
      </c>
      <c r="R96" s="33"/>
      <c r="S96" s="15">
        <f t="shared" si="29"/>
        <v>0</v>
      </c>
      <c r="T96" s="28">
        <f>IF(G96="",0,IF(ISERROR(R96+Q96*VLOOKUP(G96,Paramétrage!$D$6:$F$27,3,0))=TRUE,S96,R96+Q96*VLOOKUP(G96,Paramétrage!$D$6:$F$27,3,0)))</f>
        <v>0</v>
      </c>
      <c r="U96" s="37"/>
      <c r="V96" s="37"/>
      <c r="W96" s="37"/>
      <c r="X96" s="37"/>
      <c r="Y96" s="362">
        <f t="shared" si="28"/>
        <v>0</v>
      </c>
      <c r="Z96" s="478"/>
      <c r="AA96" s="479"/>
      <c r="AB96" s="480"/>
      <c r="AC96" s="440">
        <f t="shared" si="27"/>
        <v>0</v>
      </c>
      <c r="AD96" s="16">
        <f>H96*I96</f>
        <v>0</v>
      </c>
    </row>
    <row r="97" spans="1:30" hidden="1">
      <c r="A97" s="507"/>
      <c r="B97" s="51"/>
      <c r="C97" s="29"/>
      <c r="D97" s="405"/>
      <c r="E97" s="48"/>
      <c r="F97" s="30"/>
      <c r="G97" s="31"/>
      <c r="H97" s="40"/>
      <c r="I97" s="37"/>
      <c r="J97" s="44"/>
      <c r="K97" s="34"/>
      <c r="L97" s="479"/>
      <c r="M97" s="479"/>
      <c r="N97" s="479"/>
      <c r="O97" s="480"/>
      <c r="P97" s="361">
        <f>IF(OR(J97="",G97=Paramétrage!$D$9,G97=Paramétrage!$D$12,G97=Paramétrage!$D$15,G97=Paramétrage!$D$18,G97=Paramétrage!$D$22,G97=Paramétrage!$D$25,AND(G97&lt;&gt;Paramétrage!$D$9,K97="Mut+ext")),0,ROUNDUP(I97/J97,0))</f>
        <v>0</v>
      </c>
      <c r="Q97" s="17">
        <f>IF(OR(G97="",K97="Mut+ext"),0,IF(VLOOKUP(G97,Paramétrage!$D$6:$F$27,3,0)=0,0,IF(J97="","saisir capacité",H97*P97*VLOOKUP(G97,Paramétrage!$D$6:$F$27,2,0))))</f>
        <v>0</v>
      </c>
      <c r="R97" s="33"/>
      <c r="S97" s="15">
        <f t="shared" si="29"/>
        <v>0</v>
      </c>
      <c r="T97" s="28">
        <f>IF(G97="",0,IF(ISERROR(R97+Q97*VLOOKUP(G97,Paramétrage!$D$6:$F$27,3,0))=TRUE,S97,R97+Q97*VLOOKUP(G97,Paramétrage!$D$6:$F$27,3,0)))</f>
        <v>0</v>
      </c>
      <c r="U97" s="39"/>
      <c r="V97" s="39"/>
      <c r="W97" s="39"/>
      <c r="X97" s="39"/>
      <c r="Y97" s="362">
        <f t="shared" si="28"/>
        <v>0</v>
      </c>
      <c r="Z97" s="478"/>
      <c r="AA97" s="479"/>
      <c r="AB97" s="480"/>
      <c r="AC97" s="440">
        <f t="shared" si="27"/>
        <v>0</v>
      </c>
      <c r="AD97" s="16">
        <f>H97*I97</f>
        <v>0</v>
      </c>
    </row>
    <row r="98" spans="1:30" hidden="1">
      <c r="A98" s="507"/>
      <c r="B98" s="51"/>
      <c r="C98" s="29"/>
      <c r="D98" s="405"/>
      <c r="E98" s="48"/>
      <c r="F98" s="30"/>
      <c r="G98" s="31"/>
      <c r="H98" s="40"/>
      <c r="I98" s="37"/>
      <c r="J98" s="44"/>
      <c r="K98" s="34"/>
      <c r="L98" s="479"/>
      <c r="M98" s="479"/>
      <c r="N98" s="479"/>
      <c r="O98" s="480"/>
      <c r="P98" s="361">
        <f>IF(OR(J98="",G98=Paramétrage!$D$9,G98=Paramétrage!$D$12,G98=Paramétrage!$D$15,G98=Paramétrage!$D$18,G98=Paramétrage!$D$22,G98=Paramétrage!$D$25,AND(G98&lt;&gt;Paramétrage!$D$9,K98="Mut+ext")),0,ROUNDUP(I98/J98,0))</f>
        <v>0</v>
      </c>
      <c r="Q98" s="17">
        <f>IF(OR(G98="",K98="Mut+ext"),0,IF(VLOOKUP(G98,Paramétrage!$D$6:$F$27,3,0)=0,0,IF(J98="","saisir capacité",H98*P98*VLOOKUP(G98,Paramétrage!$D$6:$F$27,2,0))))</f>
        <v>0</v>
      </c>
      <c r="R98" s="33"/>
      <c r="S98" s="15">
        <f t="shared" si="29"/>
        <v>0</v>
      </c>
      <c r="T98" s="28">
        <f>IF(G98="",0,IF(ISERROR(R98+Q98*VLOOKUP(G98,Paramétrage!$D$6:$F$27,3,0))=TRUE,S98,R98+Q98*VLOOKUP(G98,Paramétrage!$D$6:$F$27,3,0)))</f>
        <v>0</v>
      </c>
      <c r="U98" s="38"/>
      <c r="V98" s="38"/>
      <c r="W98" s="38"/>
      <c r="X98" s="38"/>
      <c r="Y98" s="362">
        <f t="shared" si="28"/>
        <v>0</v>
      </c>
      <c r="Z98" s="478"/>
      <c r="AA98" s="479"/>
      <c r="AB98" s="480"/>
      <c r="AC98" s="440">
        <f t="shared" si="27"/>
        <v>0</v>
      </c>
      <c r="AD98" s="16">
        <f>H98*I98</f>
        <v>0</v>
      </c>
    </row>
    <row r="99" spans="1:30" hidden="1">
      <c r="A99" s="507"/>
      <c r="B99" s="51"/>
      <c r="C99" s="29"/>
      <c r="D99" s="405"/>
      <c r="E99" s="48"/>
      <c r="F99" s="30"/>
      <c r="G99" s="31"/>
      <c r="H99" s="40"/>
      <c r="I99" s="37"/>
      <c r="J99" s="44"/>
      <c r="K99" s="34"/>
      <c r="L99" s="479"/>
      <c r="M99" s="479"/>
      <c r="N99" s="479"/>
      <c r="O99" s="480"/>
      <c r="P99" s="361">
        <f>IF(OR(J99="",G99=Paramétrage!$D$9,G99=Paramétrage!$D$12,G99=Paramétrage!$D$15,G99=Paramétrage!$D$18,G99=Paramétrage!$D$22,G99=Paramétrage!$D$25,AND(G99&lt;&gt;Paramétrage!$D$9,K99="Mut+ext")),0,ROUNDUP(I99/J99,0))</f>
        <v>0</v>
      </c>
      <c r="Q99" s="17">
        <f>IF(OR(G99="",K99="Mut+ext"),0,IF(VLOOKUP(G99,Paramétrage!$D$6:$F$27,3,0)=0,0,IF(J99="","saisir capacité",H99*P99*VLOOKUP(G99,Paramétrage!$D$6:$F$27,2,0))))</f>
        <v>0</v>
      </c>
      <c r="R99" s="33"/>
      <c r="S99" s="15">
        <f t="shared" si="29"/>
        <v>0</v>
      </c>
      <c r="T99" s="28">
        <f>IF(G99="",0,IF(ISERROR(R99+Q99*VLOOKUP(G99,Paramétrage!$D$6:$F$27,3,0))=TRUE,S99,R99+Q99*VLOOKUP(G99,Paramétrage!$D$6:$F$27,3,0)))</f>
        <v>0</v>
      </c>
      <c r="U99" s="37"/>
      <c r="V99" s="37"/>
      <c r="W99" s="37"/>
      <c r="X99" s="37"/>
      <c r="Y99" s="362">
        <f t="shared" si="28"/>
        <v>0</v>
      </c>
      <c r="Z99" s="478"/>
      <c r="AA99" s="479"/>
      <c r="AB99" s="480"/>
      <c r="AC99" s="440">
        <f t="shared" si="27"/>
        <v>0</v>
      </c>
      <c r="AD99" s="16">
        <f>H99*I99</f>
        <v>0</v>
      </c>
    </row>
    <row r="100" spans="1:30" ht="16.149999999999999" thickBot="1">
      <c r="A100" s="508"/>
      <c r="B100" s="53"/>
      <c r="C100" s="19"/>
      <c r="D100" s="62"/>
      <c r="E100" s="19"/>
      <c r="F100" s="20"/>
      <c r="G100" s="18"/>
      <c r="H100" s="46">
        <f>AC100</f>
        <v>1000</v>
      </c>
      <c r="I100" s="41"/>
      <c r="J100" s="45"/>
      <c r="K100" s="50"/>
      <c r="L100" s="58"/>
      <c r="M100" s="58"/>
      <c r="N100" s="58"/>
      <c r="O100" s="59"/>
      <c r="P100" s="389"/>
      <c r="Q100" s="390">
        <f>SUM(Q55:Q99)</f>
        <v>145</v>
      </c>
      <c r="R100" s="357">
        <f>SUM(R55:R99)</f>
        <v>56</v>
      </c>
      <c r="S100" s="391">
        <f>SUM(S55:S99)</f>
        <v>201</v>
      </c>
      <c r="T100" s="63">
        <f>SUM(T55:T99)</f>
        <v>196.92000000000002</v>
      </c>
      <c r="U100" s="391">
        <f t="shared" ref="U100" si="31">SUM(U55:U99)</f>
        <v>133</v>
      </c>
      <c r="V100" s="391">
        <f t="shared" ref="V100" si="32">SUM(V55:V99)</f>
        <v>21</v>
      </c>
      <c r="W100" s="391">
        <f t="shared" ref="W100" si="33">SUM(W55:W99)</f>
        <v>47</v>
      </c>
      <c r="X100" s="391">
        <f t="shared" ref="X100" si="34">SUM(X55:X99)</f>
        <v>0</v>
      </c>
      <c r="Y100" s="391">
        <f t="shared" ref="Y100" si="35">SUM(Y55:Y99)</f>
        <v>201</v>
      </c>
      <c r="Z100" s="366"/>
      <c r="AA100" s="60"/>
      <c r="AB100" s="367"/>
      <c r="AC100" s="61">
        <f>SUM(AC55:AC99)</f>
        <v>1000</v>
      </c>
      <c r="AD100" s="26">
        <f>SUM(AD55:AD99)</f>
        <v>17216</v>
      </c>
    </row>
    <row r="101" spans="1:30" ht="16.149999999999999" thickBot="1">
      <c r="A101" s="413"/>
      <c r="B101" s="21"/>
      <c r="C101" s="21"/>
      <c r="D101" s="21"/>
      <c r="E101" s="21"/>
      <c r="F101" s="21"/>
      <c r="G101" s="22"/>
      <c r="H101" s="47">
        <f>ROUND(H54+H100,1)</f>
        <v>1644</v>
      </c>
      <c r="I101" s="23"/>
      <c r="J101" s="24"/>
      <c r="K101" s="23"/>
      <c r="L101" s="23"/>
      <c r="M101" s="23"/>
      <c r="N101" s="23"/>
      <c r="O101" s="35"/>
      <c r="P101" s="43"/>
      <c r="Q101" s="64">
        <f>Q54+Q100</f>
        <v>271</v>
      </c>
      <c r="R101" s="64">
        <f t="shared" ref="R101:T101" si="36">R54+R100</f>
        <v>77</v>
      </c>
      <c r="S101" s="64">
        <f t="shared" si="36"/>
        <v>348</v>
      </c>
      <c r="T101" s="64">
        <f t="shared" si="36"/>
        <v>335.76</v>
      </c>
    </row>
    <row r="102" spans="1:30" ht="18" customHeight="1">
      <c r="M102" s="25"/>
    </row>
  </sheetData>
  <sheetProtection algorithmName="SHA-512" hashValue="d61zufZnCl0+l4Nh9tP2jWqc4tkKJNwcz89TGoQmuJYhRUZYXxPPMrTfLo+/aflYeANTSLkBQUt2Zna2jN148Q==" saltValue="h44e+cBoiLyhLAdCWyBefg==" spinCount="100000" sheet="1" formatCells="0" formatRows="0" autoFilter="0"/>
  <mergeCells count="198">
    <mergeCell ref="AD6:AD7"/>
    <mergeCell ref="L34:O34"/>
    <mergeCell ref="L48:O48"/>
    <mergeCell ref="L49:O49"/>
    <mergeCell ref="L50:O50"/>
    <mergeCell ref="L51:O51"/>
    <mergeCell ref="L52:O52"/>
    <mergeCell ref="L53:O53"/>
    <mergeCell ref="Z11:AB11"/>
    <mergeCell ref="Z30:AB30"/>
    <mergeCell ref="Z31:AB31"/>
    <mergeCell ref="Z32:AB32"/>
    <mergeCell ref="Z23:AB23"/>
    <mergeCell ref="Z27:AB27"/>
    <mergeCell ref="Z28:AB28"/>
    <mergeCell ref="Z29:AB29"/>
    <mergeCell ref="L8:O8"/>
    <mergeCell ref="L30:O30"/>
    <mergeCell ref="L11:O11"/>
    <mergeCell ref="Z45:AB45"/>
    <mergeCell ref="Z46:AB46"/>
    <mergeCell ref="Z47:AB47"/>
    <mergeCell ref="L13:O13"/>
    <mergeCell ref="L14:O14"/>
    <mergeCell ref="L85:O85"/>
    <mergeCell ref="L86:O86"/>
    <mergeCell ref="H6:H7"/>
    <mergeCell ref="A8:A54"/>
    <mergeCell ref="A55:A100"/>
    <mergeCell ref="L56:O56"/>
    <mergeCell ref="L73:O73"/>
    <mergeCell ref="AC6:AC7"/>
    <mergeCell ref="Z38:AB38"/>
    <mergeCell ref="Z88:AB88"/>
    <mergeCell ref="L17:O17"/>
    <mergeCell ref="L20:O20"/>
    <mergeCell ref="L21:O21"/>
    <mergeCell ref="L22:O22"/>
    <mergeCell ref="L23:O23"/>
    <mergeCell ref="L27:O27"/>
    <mergeCell ref="L28:O28"/>
    <mergeCell ref="Z34:AB34"/>
    <mergeCell ref="Z35:AB35"/>
    <mergeCell ref="L82:O82"/>
    <mergeCell ref="L98:O98"/>
    <mergeCell ref="Z36:AB36"/>
    <mergeCell ref="Z44:AB44"/>
    <mergeCell ref="L87:O87"/>
    <mergeCell ref="L88:O88"/>
    <mergeCell ref="L89:O89"/>
    <mergeCell ref="L90:O90"/>
    <mergeCell ref="L91:O91"/>
    <mergeCell ref="L92:O92"/>
    <mergeCell ref="L93:O93"/>
    <mergeCell ref="B6:B7"/>
    <mergeCell ref="L80:O80"/>
    <mergeCell ref="K6:K7"/>
    <mergeCell ref="C6:C7"/>
    <mergeCell ref="E6:E7"/>
    <mergeCell ref="F6:F7"/>
    <mergeCell ref="L6:O7"/>
    <mergeCell ref="G6:G7"/>
    <mergeCell ref="I6:I7"/>
    <mergeCell ref="J6:J7"/>
    <mergeCell ref="L29:O29"/>
    <mergeCell ref="L12:O12"/>
    <mergeCell ref="D6:D7"/>
    <mergeCell ref="L18:O18"/>
    <mergeCell ref="L19:O19"/>
    <mergeCell ref="L10:O10"/>
    <mergeCell ref="L9:O9"/>
    <mergeCell ref="L79:O79"/>
    <mergeCell ref="L77:O77"/>
    <mergeCell ref="L55:O55"/>
    <mergeCell ref="L31:O31"/>
    <mergeCell ref="L32:O32"/>
    <mergeCell ref="L78:O78"/>
    <mergeCell ref="L74:O74"/>
    <mergeCell ref="L75:O75"/>
    <mergeCell ref="L33:O33"/>
    <mergeCell ref="L35:O35"/>
    <mergeCell ref="L36:O36"/>
    <mergeCell ref="L65:O65"/>
    <mergeCell ref="L46:O46"/>
    <mergeCell ref="L47:O47"/>
    <mergeCell ref="L57:O57"/>
    <mergeCell ref="L58:O58"/>
    <mergeCell ref="L63:O63"/>
    <mergeCell ref="L64:O64"/>
    <mergeCell ref="L37:O37"/>
    <mergeCell ref="L38:O38"/>
    <mergeCell ref="L39:O39"/>
    <mergeCell ref="L40:O40"/>
    <mergeCell ref="Z85:AB85"/>
    <mergeCell ref="Z6:AB7"/>
    <mergeCell ref="Z8:AB8"/>
    <mergeCell ref="Z9:AB9"/>
    <mergeCell ref="Z10:AB10"/>
    <mergeCell ref="Z12:AB12"/>
    <mergeCell ref="Z17:AB17"/>
    <mergeCell ref="Z20:AB20"/>
    <mergeCell ref="Z21:AB21"/>
    <mergeCell ref="Z22:AB22"/>
    <mergeCell ref="Z18:AB18"/>
    <mergeCell ref="Z19:AB19"/>
    <mergeCell ref="Z37:AB37"/>
    <mergeCell ref="Z57:AB57"/>
    <mergeCell ref="Z58:AB58"/>
    <mergeCell ref="Z63:AB63"/>
    <mergeCell ref="Z64:AB64"/>
    <mergeCell ref="Z41:AB41"/>
    <mergeCell ref="Z42:AB42"/>
    <mergeCell ref="Z43:AB43"/>
    <mergeCell ref="Z39:AB39"/>
    <mergeCell ref="Z40:AB40"/>
    <mergeCell ref="Z33:AB33"/>
    <mergeCell ref="Z59:AB59"/>
    <mergeCell ref="Z86:AB86"/>
    <mergeCell ref="Z87:AB87"/>
    <mergeCell ref="L41:O41"/>
    <mergeCell ref="L42:O42"/>
    <mergeCell ref="L43:O43"/>
    <mergeCell ref="L44:O44"/>
    <mergeCell ref="L45:O45"/>
    <mergeCell ref="Z89:AB89"/>
    <mergeCell ref="Z90:AB90"/>
    <mergeCell ref="L66:O66"/>
    <mergeCell ref="L67:O67"/>
    <mergeCell ref="L68:O68"/>
    <mergeCell ref="L69:O69"/>
    <mergeCell ref="L70:O70"/>
    <mergeCell ref="L71:O71"/>
    <mergeCell ref="L72:O72"/>
    <mergeCell ref="L83:O83"/>
    <mergeCell ref="Z83:AB83"/>
    <mergeCell ref="L84:O84"/>
    <mergeCell ref="Z84:AB84"/>
    <mergeCell ref="Z81:AB81"/>
    <mergeCell ref="Z82:AB82"/>
    <mergeCell ref="L81:O81"/>
    <mergeCell ref="Z65:AB65"/>
    <mergeCell ref="Z91:AB91"/>
    <mergeCell ref="Z92:AB92"/>
    <mergeCell ref="Z48:AB48"/>
    <mergeCell ref="Z49:AB49"/>
    <mergeCell ref="Z50:AB50"/>
    <mergeCell ref="Z51:AB51"/>
    <mergeCell ref="Z52:AB52"/>
    <mergeCell ref="Z53:AB53"/>
    <mergeCell ref="Z55:AB55"/>
    <mergeCell ref="Z56:AB56"/>
    <mergeCell ref="Z73:AB73"/>
    <mergeCell ref="Z74:AB74"/>
    <mergeCell ref="Z75:AB75"/>
    <mergeCell ref="Z77:AB77"/>
    <mergeCell ref="Z78:AB78"/>
    <mergeCell ref="Z79:AB79"/>
    <mergeCell ref="Z80:AB80"/>
    <mergeCell ref="Z66:AB66"/>
    <mergeCell ref="Z67:AB67"/>
    <mergeCell ref="Z68:AB68"/>
    <mergeCell ref="Z69:AB69"/>
    <mergeCell ref="Z70:AB70"/>
    <mergeCell ref="Z71:AB71"/>
    <mergeCell ref="Z72:AB72"/>
    <mergeCell ref="Z93:AB93"/>
    <mergeCell ref="L94:O94"/>
    <mergeCell ref="Z94:AB94"/>
    <mergeCell ref="Z95:AB95"/>
    <mergeCell ref="Z96:AB96"/>
    <mergeCell ref="Z97:AB97"/>
    <mergeCell ref="Z98:AB98"/>
    <mergeCell ref="Z99:AB99"/>
    <mergeCell ref="L96:O96"/>
    <mergeCell ref="L99:O99"/>
    <mergeCell ref="L95:O95"/>
    <mergeCell ref="L97:O97"/>
    <mergeCell ref="L15:O15"/>
    <mergeCell ref="L16:O16"/>
    <mergeCell ref="L24:O24"/>
    <mergeCell ref="L25:O25"/>
    <mergeCell ref="L26:O26"/>
    <mergeCell ref="Z13:AB13"/>
    <mergeCell ref="Z14:AB14"/>
    <mergeCell ref="Z15:AB15"/>
    <mergeCell ref="Z16:AB16"/>
    <mergeCell ref="Z24:AB24"/>
    <mergeCell ref="Z25:AB25"/>
    <mergeCell ref="Z26:AB26"/>
    <mergeCell ref="Z60:AB60"/>
    <mergeCell ref="Z61:AB61"/>
    <mergeCell ref="Z62:AB62"/>
    <mergeCell ref="Z76:AB76"/>
    <mergeCell ref="L59:O59"/>
    <mergeCell ref="L60:O60"/>
    <mergeCell ref="L61:O61"/>
    <mergeCell ref="L62:O62"/>
    <mergeCell ref="L76:O76"/>
  </mergeCells>
  <conditionalFormatting sqref="Z8 Z31:Z33 Z96:Z99 Z41:Z53">
    <cfRule type="expression" dxfId="79" priority="395">
      <formula>$G8=#REF!</formula>
    </cfRule>
    <cfRule type="expression" dxfId="78" priority="396">
      <formula>$G8=#REF!</formula>
    </cfRule>
    <cfRule type="expression" dxfId="77" priority="397">
      <formula>$G8=#REF!</formula>
    </cfRule>
    <cfRule type="expression" dxfId="76" priority="398">
      <formula>$G8=#REF!</formula>
    </cfRule>
  </conditionalFormatting>
  <conditionalFormatting sqref="Z9">
    <cfRule type="expression" dxfId="75" priority="361">
      <formula>$G9=#REF!</formula>
    </cfRule>
    <cfRule type="expression" dxfId="74" priority="362">
      <formula>$G9=#REF!</formula>
    </cfRule>
    <cfRule type="expression" dxfId="73" priority="363">
      <formula>$G9=#REF!</formula>
    </cfRule>
    <cfRule type="expression" dxfId="72" priority="364">
      <formula>$G9=#REF!</formula>
    </cfRule>
  </conditionalFormatting>
  <conditionalFormatting sqref="Z34:Z35">
    <cfRule type="expression" dxfId="71" priority="347">
      <formula>$G34=#REF!</formula>
    </cfRule>
    <cfRule type="expression" dxfId="70" priority="348">
      <formula>$G34=#REF!</formula>
    </cfRule>
    <cfRule type="expression" dxfId="69" priority="349">
      <formula>$G34=#REF!</formula>
    </cfRule>
    <cfRule type="expression" dxfId="68" priority="350">
      <formula>$G34=#REF!</formula>
    </cfRule>
  </conditionalFormatting>
  <conditionalFormatting sqref="Z55:Z58 Z65:Z75 Z77:Z79">
    <cfRule type="expression" dxfId="67" priority="333">
      <formula>$G55=#REF!</formula>
    </cfRule>
    <cfRule type="expression" dxfId="66" priority="334">
      <formula>$G55=#REF!</formula>
    </cfRule>
    <cfRule type="expression" dxfId="65" priority="335">
      <formula>$G55=#REF!</formula>
    </cfRule>
    <cfRule type="expression" dxfId="64" priority="336">
      <formula>$G55=#REF!</formula>
    </cfRule>
  </conditionalFormatting>
  <conditionalFormatting sqref="Z80:Z82">
    <cfRule type="expression" dxfId="63" priority="319">
      <formula>$G80=#REF!</formula>
    </cfRule>
    <cfRule type="expression" dxfId="62" priority="320">
      <formula>$G80=#REF!</formula>
    </cfRule>
    <cfRule type="expression" dxfId="61" priority="321">
      <formula>$G80=#REF!</formula>
    </cfRule>
    <cfRule type="expression" dxfId="60" priority="322">
      <formula>$G80=#REF!</formula>
    </cfRule>
  </conditionalFormatting>
  <conditionalFormatting sqref="K101 K8:K11 K21:K33">
    <cfRule type="cellIs" dxfId="59" priority="114" operator="equal">
      <formula>"Mut+ext"</formula>
    </cfRule>
  </conditionalFormatting>
  <conditionalFormatting sqref="K54 K100">
    <cfRule type="cellIs" dxfId="58" priority="129" operator="equal">
      <formula>"Mut+ext"</formula>
    </cfRule>
  </conditionalFormatting>
  <conditionalFormatting sqref="K34:K53">
    <cfRule type="cellIs" dxfId="57" priority="124" operator="equal">
      <formula>"Mut+ext"</formula>
    </cfRule>
  </conditionalFormatting>
  <conditionalFormatting sqref="K55:K79">
    <cfRule type="cellIs" dxfId="56" priority="122" operator="equal">
      <formula>"Mut+ext"</formula>
    </cfRule>
  </conditionalFormatting>
  <conditionalFormatting sqref="K80:K82 K96:K99">
    <cfRule type="cellIs" dxfId="55" priority="120" operator="equal">
      <formula>"Mut+ext"</formula>
    </cfRule>
  </conditionalFormatting>
  <conditionalFormatting sqref="Z28:Z30">
    <cfRule type="expression" dxfId="54" priority="81">
      <formula>$G28=#REF!</formula>
    </cfRule>
    <cfRule type="expression" dxfId="53" priority="82">
      <formula>$G28=#REF!</formula>
    </cfRule>
    <cfRule type="expression" dxfId="52" priority="83">
      <formula>$G28=#REF!</formula>
    </cfRule>
    <cfRule type="expression" dxfId="51" priority="84">
      <formula>$G28=#REF!</formula>
    </cfRule>
  </conditionalFormatting>
  <conditionalFormatting sqref="Z36">
    <cfRule type="expression" dxfId="50" priority="77">
      <formula>$G36=#REF!</formula>
    </cfRule>
    <cfRule type="expression" dxfId="49" priority="78">
      <formula>$G36=#REF!</formula>
    </cfRule>
    <cfRule type="expression" dxfId="48" priority="79">
      <formula>$G36=#REF!</formula>
    </cfRule>
    <cfRule type="expression" dxfId="47" priority="80">
      <formula>$G36=#REF!</formula>
    </cfRule>
  </conditionalFormatting>
  <conditionalFormatting sqref="Z37:Z38">
    <cfRule type="expression" dxfId="46" priority="69">
      <formula>$G37=#REF!</formula>
    </cfRule>
    <cfRule type="expression" dxfId="45" priority="70">
      <formula>$G37=#REF!</formula>
    </cfRule>
    <cfRule type="expression" dxfId="44" priority="71">
      <formula>$G37=#REF!</formula>
    </cfRule>
    <cfRule type="expression" dxfId="43" priority="72">
      <formula>$G37=#REF!</formula>
    </cfRule>
  </conditionalFormatting>
  <conditionalFormatting sqref="Z39:Z40">
    <cfRule type="expression" dxfId="42" priority="65">
      <formula>$G39=#REF!</formula>
    </cfRule>
    <cfRule type="expression" dxfId="41" priority="66">
      <formula>$G39=#REF!</formula>
    </cfRule>
    <cfRule type="expression" dxfId="40" priority="67">
      <formula>$G39=#REF!</formula>
    </cfRule>
    <cfRule type="expression" dxfId="39" priority="68">
      <formula>$G39=#REF!</formula>
    </cfRule>
  </conditionalFormatting>
  <conditionalFormatting sqref="Z83:Z95">
    <cfRule type="expression" dxfId="38" priority="61">
      <formula>$G83=#REF!</formula>
    </cfRule>
    <cfRule type="expression" dxfId="37" priority="62">
      <formula>$G83=#REF!</formula>
    </cfRule>
    <cfRule type="expression" dxfId="36" priority="63">
      <formula>$G83=#REF!</formula>
    </cfRule>
    <cfRule type="expression" dxfId="35" priority="64">
      <formula>$G83=#REF!</formula>
    </cfRule>
  </conditionalFormatting>
  <conditionalFormatting sqref="K83:K95">
    <cfRule type="cellIs" dxfId="34" priority="59" operator="equal">
      <formula>"Mut+ext"</formula>
    </cfRule>
  </conditionalFormatting>
  <conditionalFormatting sqref="Y8:Y53">
    <cfRule type="cellIs" dxfId="33" priority="47" operator="notEqual">
      <formula>S8</formula>
    </cfRule>
  </conditionalFormatting>
  <conditionalFormatting sqref="Y55:Y79">
    <cfRule type="cellIs" dxfId="32" priority="45" operator="notEqual">
      <formula>S55</formula>
    </cfRule>
  </conditionalFormatting>
  <conditionalFormatting sqref="Y80:Y99">
    <cfRule type="cellIs" dxfId="31" priority="43" operator="notEqual">
      <formula>S80</formula>
    </cfRule>
  </conditionalFormatting>
  <conditionalFormatting sqref="F30:F33">
    <cfRule type="expression" dxfId="30" priority="34">
      <formula>E30="obligatoire"</formula>
    </cfRule>
  </conditionalFormatting>
  <conditionalFormatting sqref="F34:F53">
    <cfRule type="expression" dxfId="29" priority="33">
      <formula>E34="obligatoire"</formula>
    </cfRule>
  </conditionalFormatting>
  <conditionalFormatting sqref="F74:F75 F77:F79">
    <cfRule type="expression" dxfId="28" priority="32">
      <formula>E74="obligatoire"</formula>
    </cfRule>
  </conditionalFormatting>
  <conditionalFormatting sqref="F80:F99">
    <cfRule type="expression" dxfId="27" priority="31">
      <formula>E80="obligatoire"</formula>
    </cfRule>
  </conditionalFormatting>
  <conditionalFormatting sqref="F23:F24 F26:F27">
    <cfRule type="expression" dxfId="26" priority="24">
      <formula>E23="obligatoire"</formula>
    </cfRule>
  </conditionalFormatting>
  <conditionalFormatting sqref="F29">
    <cfRule type="expression" dxfId="25" priority="18">
      <formula>E29="obligatoire"</formula>
    </cfRule>
  </conditionalFormatting>
  <conditionalFormatting sqref="F28">
    <cfRule type="expression" dxfId="24" priority="17">
      <formula>E28="obligatoire"</formula>
    </cfRule>
  </conditionalFormatting>
  <conditionalFormatting sqref="F28">
    <cfRule type="expression" dxfId="23" priority="16">
      <formula>E28="obligatoire"</formula>
    </cfRule>
  </conditionalFormatting>
  <conditionalFormatting sqref="F25">
    <cfRule type="expression" dxfId="22" priority="14">
      <formula>E25="obligatoire"</formula>
    </cfRule>
  </conditionalFormatting>
  <conditionalFormatting sqref="K12:K20">
    <cfRule type="cellIs" dxfId="21" priority="13" operator="equal">
      <formula>"Mut+ext"</formula>
    </cfRule>
  </conditionalFormatting>
  <conditionalFormatting sqref="Z10:Z27">
    <cfRule type="expression" dxfId="20" priority="9">
      <formula>$G10=#REF!</formula>
    </cfRule>
    <cfRule type="expression" dxfId="19" priority="10">
      <formula>$G10=#REF!</formula>
    </cfRule>
    <cfRule type="expression" dxfId="18" priority="11">
      <formula>$G10=#REF!</formula>
    </cfRule>
    <cfRule type="expression" dxfId="17" priority="12">
      <formula>$G10=#REF!</formula>
    </cfRule>
  </conditionalFormatting>
  <conditionalFormatting sqref="Z59:Z64">
    <cfRule type="expression" dxfId="16" priority="5">
      <formula>$G59=#REF!</formula>
    </cfRule>
    <cfRule type="expression" dxfId="15" priority="6">
      <formula>$G59=#REF!</formula>
    </cfRule>
    <cfRule type="expression" dxfId="14" priority="7">
      <formula>$G59=#REF!</formula>
    </cfRule>
    <cfRule type="expression" dxfId="13" priority="8">
      <formula>$G59=#REF!</formula>
    </cfRule>
  </conditionalFormatting>
  <conditionalFormatting sqref="Z76">
    <cfRule type="expression" dxfId="12" priority="1">
      <formula>$G76=#REF!</formula>
    </cfRule>
    <cfRule type="expression" dxfId="11" priority="2">
      <formula>$G76=#REF!</formula>
    </cfRule>
    <cfRule type="expression" dxfId="10" priority="3">
      <formula>$G76=#REF!</formula>
    </cfRule>
    <cfRule type="expression" dxfId="9" priority="4">
      <formula>$G76=#REF!</formula>
    </cfRule>
  </conditionalFormatting>
  <dataValidations count="5">
    <dataValidation type="list" allowBlank="1" showInputMessage="1" showErrorMessage="1" sqref="G54" xr:uid="{00000000-0002-0000-0000-000000000000}">
      <formula1>#REF!</formula1>
    </dataValidation>
    <dataValidation type="list" allowBlank="1" showInputMessage="1" showErrorMessage="1" sqref="K55:K99 K8:K53" xr:uid="{00000000-0002-0000-0000-000001000000}">
      <formula1>"Non,Mut,Mut+ext"</formula1>
    </dataValidation>
    <dataValidation type="list" allowBlank="1" showInputMessage="1" showErrorMessage="1" sqref="D55:D99 D8:D53" xr:uid="{00000000-0002-0000-0000-000002000000}">
      <formula1>"MIXTE,FI/FC,ALT"</formula1>
    </dataValidation>
    <dataValidation type="list" allowBlank="1" showInputMessage="1" showErrorMessage="1" sqref="F8:F99" xr:uid="{00000000-0002-0000-0000-000003000000}">
      <formula1>"1,2,3,4"</formula1>
    </dataValidation>
    <dataValidation type="list" allowBlank="1" showInputMessage="1" showErrorMessage="1" sqref="E8:E99" xr:uid="{00000000-0002-0000-0000-000004000000}">
      <formula1>"Obligatoire,Option"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G55:G99 G8:G53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Normal="100" workbookViewId="0">
      <pane ySplit="11" topLeftCell="A12" activePane="bottomLeft" state="frozen"/>
      <selection pane="bottomLeft" activeCell="D18" sqref="D18"/>
    </sheetView>
  </sheetViews>
  <sheetFormatPr defaultColWidth="11.5703125" defaultRowHeight="13.9"/>
  <cols>
    <col min="1" max="1" width="3.140625" style="66" customWidth="1"/>
    <col min="2" max="2" width="12.7109375" style="66" customWidth="1"/>
    <col min="3" max="3" width="24" style="66" customWidth="1"/>
    <col min="4" max="6" width="11.5703125" style="66"/>
    <col min="7" max="7" width="11.42578125" style="66" customWidth="1"/>
    <col min="8" max="11" width="11.5703125" style="66"/>
    <col min="12" max="12" width="22.28515625" style="66" customWidth="1"/>
    <col min="13" max="13" width="11.5703125" style="66" customWidth="1"/>
    <col min="14" max="14" width="24.28515625" style="66" customWidth="1"/>
    <col min="15" max="15" width="9.85546875" style="66" customWidth="1"/>
    <col min="16" max="17" width="6.7109375" style="66" customWidth="1"/>
    <col min="18" max="16384" width="11.5703125" style="66"/>
  </cols>
  <sheetData>
    <row r="1" spans="1:17" ht="7.15" customHeight="1" thickBot="1">
      <c r="H1" s="67"/>
      <c r="I1" s="68"/>
      <c r="J1" s="69"/>
      <c r="K1" s="67"/>
      <c r="L1" s="67"/>
    </row>
    <row r="2" spans="1:17" ht="28.15" customHeight="1" thickBot="1">
      <c r="A2" s="70"/>
      <c r="B2" s="517" t="s">
        <v>96</v>
      </c>
      <c r="C2" s="518"/>
      <c r="D2" s="518"/>
      <c r="E2" s="518"/>
      <c r="F2" s="518"/>
      <c r="G2" s="518"/>
      <c r="H2" s="518"/>
      <c r="I2" s="518"/>
      <c r="J2" s="518"/>
      <c r="K2" s="518"/>
      <c r="L2" s="518"/>
      <c r="M2" s="519"/>
    </row>
    <row r="3" spans="1:17" ht="12.6" customHeight="1">
      <c r="F3" s="67"/>
      <c r="G3" s="67"/>
      <c r="H3" s="67"/>
      <c r="I3" s="67"/>
      <c r="J3" s="69"/>
      <c r="K3" s="67"/>
      <c r="L3" s="67"/>
    </row>
    <row r="4" spans="1:17" ht="22.15" customHeight="1">
      <c r="C4" s="71" t="s">
        <v>97</v>
      </c>
      <c r="D4" s="514" t="s">
        <v>98</v>
      </c>
      <c r="E4" s="516"/>
      <c r="G4" s="71" t="s">
        <v>99</v>
      </c>
      <c r="H4" s="514" t="s">
        <v>100</v>
      </c>
      <c r="I4" s="515"/>
      <c r="J4" s="515"/>
      <c r="K4" s="516"/>
    </row>
    <row r="5" spans="1:17" ht="22.15" customHeight="1">
      <c r="C5" s="72" t="s">
        <v>101</v>
      </c>
      <c r="D5" s="514" t="s">
        <v>102</v>
      </c>
      <c r="E5" s="516"/>
      <c r="G5" s="71" t="s">
        <v>103</v>
      </c>
      <c r="H5" s="514" t="s">
        <v>104</v>
      </c>
      <c r="I5" s="515"/>
      <c r="J5" s="515"/>
      <c r="K5" s="516"/>
    </row>
    <row r="6" spans="1:17" ht="22.15" customHeight="1">
      <c r="C6" s="512" t="s">
        <v>105</v>
      </c>
      <c r="D6" s="513"/>
      <c r="E6" s="73">
        <v>24</v>
      </c>
      <c r="G6" s="71" t="s">
        <v>106</v>
      </c>
      <c r="H6" s="514" t="s">
        <v>107</v>
      </c>
      <c r="I6" s="515"/>
      <c r="J6" s="515"/>
      <c r="K6" s="516"/>
      <c r="N6" s="74" t="s">
        <v>108</v>
      </c>
    </row>
    <row r="7" spans="1:17" ht="22.15" customHeight="1">
      <c r="C7" s="512" t="s">
        <v>109</v>
      </c>
      <c r="D7" s="513"/>
      <c r="E7" s="73">
        <f>F28</f>
        <v>7</v>
      </c>
      <c r="G7" s="75" t="s">
        <v>110</v>
      </c>
      <c r="J7" s="76">
        <v>2022</v>
      </c>
      <c r="K7" s="76">
        <v>2023</v>
      </c>
    </row>
    <row r="8" spans="1:17" ht="18" customHeight="1">
      <c r="E8" s="77"/>
      <c r="G8" s="78"/>
    </row>
    <row r="9" spans="1:17" ht="25.9" customHeight="1">
      <c r="B9" s="522" t="s">
        <v>111</v>
      </c>
      <c r="C9" s="522"/>
      <c r="D9" s="522"/>
      <c r="E9" s="79">
        <f>'Budget détaillé'!J75</f>
        <v>-72081.473333333328</v>
      </c>
      <c r="F9" s="523" t="s">
        <v>112</v>
      </c>
      <c r="G9" s="523"/>
      <c r="H9" s="80"/>
      <c r="I9" s="81" t="s">
        <v>113</v>
      </c>
      <c r="J9" s="79">
        <f>'Recettes et simulat'!J28+'Recettes et simulat'!F39-'Budget détaillé'!K62</f>
        <v>5097.3933333333334</v>
      </c>
    </row>
    <row r="10" spans="1:17" ht="22.15" customHeight="1">
      <c r="B10" s="522" t="s">
        <v>114</v>
      </c>
      <c r="C10" s="522"/>
      <c r="D10" s="522"/>
      <c r="E10" s="79">
        <f>E9+J9</f>
        <v>-66984.079999999987</v>
      </c>
      <c r="F10" s="523"/>
      <c r="G10" s="523"/>
      <c r="H10" s="524" t="s">
        <v>115</v>
      </c>
      <c r="I10" s="525"/>
      <c r="J10" s="79">
        <f>'Budget détaillé'!K63</f>
        <v>6125.3723809523808</v>
      </c>
    </row>
    <row r="11" spans="1:17" ht="16.899999999999999" customHeight="1" thickBot="1"/>
    <row r="12" spans="1:17" ht="18.600000000000001" customHeight="1" thickBot="1">
      <c r="B12" s="526" t="s">
        <v>116</v>
      </c>
      <c r="C12" s="527"/>
      <c r="D12" s="527"/>
      <c r="E12" s="527"/>
      <c r="F12" s="527"/>
      <c r="G12" s="527"/>
      <c r="H12" s="527"/>
      <c r="I12" s="527"/>
      <c r="J12" s="527"/>
      <c r="K12" s="527"/>
      <c r="L12" s="527"/>
      <c r="M12" s="528"/>
    </row>
    <row r="13" spans="1:17" ht="14.45" thickBot="1"/>
    <row r="14" spans="1:17" ht="55.9" thickBot="1">
      <c r="B14" s="82" t="s">
        <v>117</v>
      </c>
      <c r="C14" s="83" t="s">
        <v>118</v>
      </c>
      <c r="D14" s="83" t="s">
        <v>13</v>
      </c>
      <c r="E14" s="83" t="s">
        <v>119</v>
      </c>
      <c r="F14" s="83" t="s">
        <v>120</v>
      </c>
      <c r="G14" s="83" t="s">
        <v>0</v>
      </c>
      <c r="H14" s="84" t="s">
        <v>121</v>
      </c>
      <c r="I14" s="83" t="s">
        <v>122</v>
      </c>
      <c r="J14" s="83" t="s">
        <v>123</v>
      </c>
      <c r="K14" s="83" t="s">
        <v>124</v>
      </c>
      <c r="L14" s="529" t="s">
        <v>125</v>
      </c>
      <c r="M14" s="519"/>
      <c r="O14" s="85" t="s">
        <v>126</v>
      </c>
      <c r="P14" s="85">
        <v>250</v>
      </c>
      <c r="Q14" s="85">
        <v>400</v>
      </c>
    </row>
    <row r="15" spans="1:17" ht="20.45" customHeight="1">
      <c r="B15" s="530" t="s">
        <v>127</v>
      </c>
      <c r="C15" s="531"/>
      <c r="D15" s="531"/>
      <c r="E15" s="531"/>
      <c r="F15" s="531"/>
      <c r="G15" s="531"/>
      <c r="H15" s="531"/>
      <c r="I15" s="531"/>
      <c r="J15" s="531"/>
      <c r="K15" s="531"/>
      <c r="L15" s="531"/>
      <c r="M15" s="532"/>
      <c r="O15" s="85" t="s">
        <v>128</v>
      </c>
      <c r="P15" s="85">
        <v>400</v>
      </c>
      <c r="Q15" s="85"/>
    </row>
    <row r="16" spans="1:17" ht="16.899999999999999" customHeight="1" thickBot="1">
      <c r="B16" s="533" t="s">
        <v>129</v>
      </c>
      <c r="C16" s="534"/>
      <c r="D16" s="86"/>
      <c r="E16" s="87">
        <v>243</v>
      </c>
      <c r="F16" s="88">
        <f>E6-E7</f>
        <v>17</v>
      </c>
      <c r="G16" s="89">
        <f>E16*F16</f>
        <v>4131</v>
      </c>
      <c r="H16" s="90"/>
      <c r="I16" s="91"/>
      <c r="J16" s="91"/>
      <c r="K16" s="92"/>
      <c r="L16" s="91"/>
      <c r="M16" s="93"/>
    </row>
    <row r="17" spans="2:13" ht="21" customHeight="1">
      <c r="B17" s="530" t="s">
        <v>130</v>
      </c>
      <c r="C17" s="531"/>
      <c r="D17" s="531"/>
      <c r="E17" s="531"/>
      <c r="F17" s="531"/>
      <c r="G17" s="531"/>
      <c r="H17" s="531"/>
      <c r="I17" s="531"/>
      <c r="J17" s="531"/>
      <c r="K17" s="531"/>
      <c r="L17" s="531"/>
      <c r="M17" s="532"/>
    </row>
    <row r="18" spans="2:13">
      <c r="B18" s="94" t="s">
        <v>131</v>
      </c>
      <c r="C18" s="95" t="s">
        <v>128</v>
      </c>
      <c r="D18" s="458">
        <f>Enseignements!I4+Enseignements!K4+Enseignements!H64</f>
        <v>432</v>
      </c>
      <c r="E18" s="87">
        <v>7500</v>
      </c>
      <c r="F18" s="73">
        <v>6</v>
      </c>
      <c r="G18" s="89">
        <f>E18*F18</f>
        <v>45000</v>
      </c>
      <c r="H18" s="89">
        <f t="shared" ref="H18:H27" si="0">IF(D18=0,0,E18/D18)</f>
        <v>17.361111111111111</v>
      </c>
      <c r="I18" s="96">
        <v>0.05</v>
      </c>
      <c r="J18" s="89">
        <f>G18*(1-I18)</f>
        <v>42750</v>
      </c>
      <c r="K18" s="89">
        <f t="shared" ref="K18:K27" si="1">IF((D18*F18)=0,0,J18/(D18*F18))</f>
        <v>16.493055555555557</v>
      </c>
      <c r="L18" s="520"/>
      <c r="M18" s="521"/>
    </row>
    <row r="19" spans="2:13">
      <c r="B19" s="94" t="s">
        <v>132</v>
      </c>
      <c r="C19" s="95" t="s">
        <v>126</v>
      </c>
      <c r="D19" s="458">
        <f>D18</f>
        <v>432</v>
      </c>
      <c r="E19" s="87">
        <v>5500</v>
      </c>
      <c r="F19" s="73">
        <v>1</v>
      </c>
      <c r="G19" s="89">
        <f t="shared" ref="G19:G27" si="2">E19*F19</f>
        <v>5500</v>
      </c>
      <c r="H19" s="89">
        <f t="shared" si="0"/>
        <v>12.731481481481481</v>
      </c>
      <c r="I19" s="96">
        <v>0.05</v>
      </c>
      <c r="J19" s="89">
        <f t="shared" ref="J19:J27" si="3">G19*(1-I19)</f>
        <v>5225</v>
      </c>
      <c r="K19" s="89">
        <f t="shared" si="1"/>
        <v>12.094907407407407</v>
      </c>
      <c r="L19" s="520"/>
      <c r="M19" s="521"/>
    </row>
    <row r="20" spans="2:13">
      <c r="B20" s="94" t="s">
        <v>133</v>
      </c>
      <c r="C20" s="95"/>
      <c r="D20" s="73"/>
      <c r="E20" s="87"/>
      <c r="F20" s="73"/>
      <c r="G20" s="89">
        <f t="shared" si="2"/>
        <v>0</v>
      </c>
      <c r="H20" s="89">
        <f t="shared" si="0"/>
        <v>0</v>
      </c>
      <c r="I20" s="96"/>
      <c r="J20" s="89">
        <f t="shared" si="3"/>
        <v>0</v>
      </c>
      <c r="K20" s="89">
        <f t="shared" si="1"/>
        <v>0</v>
      </c>
      <c r="L20" s="520"/>
      <c r="M20" s="521"/>
    </row>
    <row r="21" spans="2:13">
      <c r="B21" s="94" t="s">
        <v>134</v>
      </c>
      <c r="C21" s="95"/>
      <c r="D21" s="73"/>
      <c r="E21" s="87"/>
      <c r="F21" s="73"/>
      <c r="G21" s="89">
        <f t="shared" si="2"/>
        <v>0</v>
      </c>
      <c r="H21" s="89">
        <f t="shared" si="0"/>
        <v>0</v>
      </c>
      <c r="I21" s="96"/>
      <c r="J21" s="89">
        <f t="shared" si="3"/>
        <v>0</v>
      </c>
      <c r="K21" s="89">
        <f t="shared" si="1"/>
        <v>0</v>
      </c>
      <c r="L21" s="520"/>
      <c r="M21" s="521"/>
    </row>
    <row r="22" spans="2:13">
      <c r="B22" s="94" t="s">
        <v>135</v>
      </c>
      <c r="C22" s="95"/>
      <c r="D22" s="73"/>
      <c r="E22" s="87"/>
      <c r="F22" s="73"/>
      <c r="G22" s="89">
        <f t="shared" si="2"/>
        <v>0</v>
      </c>
      <c r="H22" s="89">
        <f t="shared" si="0"/>
        <v>0</v>
      </c>
      <c r="I22" s="96"/>
      <c r="J22" s="89">
        <f t="shared" si="3"/>
        <v>0</v>
      </c>
      <c r="K22" s="89">
        <f t="shared" si="1"/>
        <v>0</v>
      </c>
      <c r="L22" s="520"/>
      <c r="M22" s="521"/>
    </row>
    <row r="23" spans="2:13">
      <c r="B23" s="94" t="s">
        <v>136</v>
      </c>
      <c r="C23" s="95"/>
      <c r="D23" s="73"/>
      <c r="E23" s="87"/>
      <c r="F23" s="73"/>
      <c r="G23" s="89">
        <f t="shared" si="2"/>
        <v>0</v>
      </c>
      <c r="H23" s="89">
        <f t="shared" si="0"/>
        <v>0</v>
      </c>
      <c r="I23" s="96"/>
      <c r="J23" s="89">
        <f t="shared" si="3"/>
        <v>0</v>
      </c>
      <c r="K23" s="89">
        <f t="shared" si="1"/>
        <v>0</v>
      </c>
      <c r="L23" s="520"/>
      <c r="M23" s="521"/>
    </row>
    <row r="24" spans="2:13">
      <c r="B24" s="94" t="s">
        <v>137</v>
      </c>
      <c r="C24" s="95"/>
      <c r="D24" s="73"/>
      <c r="E24" s="87"/>
      <c r="F24" s="73"/>
      <c r="G24" s="89">
        <f t="shared" si="2"/>
        <v>0</v>
      </c>
      <c r="H24" s="89">
        <f t="shared" si="0"/>
        <v>0</v>
      </c>
      <c r="I24" s="96"/>
      <c r="J24" s="89">
        <f t="shared" si="3"/>
        <v>0</v>
      </c>
      <c r="K24" s="89">
        <f t="shared" si="1"/>
        <v>0</v>
      </c>
      <c r="L24" s="520"/>
      <c r="M24" s="521"/>
    </row>
    <row r="25" spans="2:13">
      <c r="B25" s="94" t="s">
        <v>138</v>
      </c>
      <c r="C25" s="95"/>
      <c r="D25" s="73"/>
      <c r="E25" s="87"/>
      <c r="F25" s="73"/>
      <c r="G25" s="89">
        <f t="shared" si="2"/>
        <v>0</v>
      </c>
      <c r="H25" s="89">
        <f t="shared" si="0"/>
        <v>0</v>
      </c>
      <c r="I25" s="96"/>
      <c r="J25" s="89">
        <f t="shared" si="3"/>
        <v>0</v>
      </c>
      <c r="K25" s="89">
        <f t="shared" si="1"/>
        <v>0</v>
      </c>
      <c r="L25" s="520"/>
      <c r="M25" s="521"/>
    </row>
    <row r="26" spans="2:13">
      <c r="B26" s="94" t="s">
        <v>139</v>
      </c>
      <c r="C26" s="95"/>
      <c r="D26" s="73"/>
      <c r="E26" s="87"/>
      <c r="F26" s="73"/>
      <c r="G26" s="89">
        <f t="shared" si="2"/>
        <v>0</v>
      </c>
      <c r="H26" s="89">
        <f t="shared" si="0"/>
        <v>0</v>
      </c>
      <c r="I26" s="96"/>
      <c r="J26" s="89">
        <f t="shared" si="3"/>
        <v>0</v>
      </c>
      <c r="K26" s="89">
        <f t="shared" si="1"/>
        <v>0</v>
      </c>
      <c r="L26" s="520"/>
      <c r="M26" s="521"/>
    </row>
    <row r="27" spans="2:13">
      <c r="B27" s="97" t="s">
        <v>140</v>
      </c>
      <c r="C27" s="98"/>
      <c r="D27" s="73"/>
      <c r="E27" s="99"/>
      <c r="F27" s="73"/>
      <c r="G27" s="89">
        <f t="shared" si="2"/>
        <v>0</v>
      </c>
      <c r="H27" s="89">
        <f t="shared" si="0"/>
        <v>0</v>
      </c>
      <c r="I27" s="96"/>
      <c r="J27" s="89">
        <f t="shared" si="3"/>
        <v>0</v>
      </c>
      <c r="K27" s="89">
        <f t="shared" si="1"/>
        <v>0</v>
      </c>
      <c r="L27" s="520"/>
      <c r="M27" s="521"/>
    </row>
    <row r="28" spans="2:13" ht="14.45" thickBot="1">
      <c r="B28" s="540" t="s">
        <v>141</v>
      </c>
      <c r="C28" s="541"/>
      <c r="D28" s="100"/>
      <c r="E28" s="101"/>
      <c r="F28" s="100">
        <f>SUM(F18:F27)</f>
        <v>7</v>
      </c>
      <c r="G28" s="102">
        <f>SUM(G18:G27)</f>
        <v>50500</v>
      </c>
      <c r="H28" s="103">
        <f>IF(SUMPRODUCT(F18:F27,D18:D27)=0,0,G28/SUMPRODUCT(F18:F27,D18:D27))</f>
        <v>16.699735449735449</v>
      </c>
      <c r="I28" s="100"/>
      <c r="J28" s="102">
        <f>SUM(J18:J27)</f>
        <v>47975</v>
      </c>
      <c r="K28" s="102">
        <f>IF(D28=0,0,IF(SUMPRODUCT(F18:F27,D18:D27)=0,0,J28/SUMPRODUCT(F18:F27,D18:D27)))</f>
        <v>0</v>
      </c>
      <c r="L28" s="542"/>
      <c r="M28" s="543"/>
    </row>
    <row r="29" spans="2:13">
      <c r="B29" s="75"/>
      <c r="C29" s="75"/>
      <c r="D29" s="72"/>
      <c r="E29" s="78"/>
      <c r="F29" s="72"/>
      <c r="G29" s="104"/>
      <c r="H29" s="104"/>
      <c r="I29" s="78"/>
      <c r="J29" s="104"/>
      <c r="K29" s="104"/>
      <c r="L29" s="104"/>
      <c r="M29" s="78"/>
    </row>
    <row r="30" spans="2:13" ht="14.45" thickBot="1"/>
    <row r="31" spans="2:13" ht="18.600000000000001" customHeight="1" thickBot="1">
      <c r="B31" s="526" t="s">
        <v>142</v>
      </c>
      <c r="C31" s="527"/>
      <c r="D31" s="527"/>
      <c r="E31" s="527"/>
      <c r="F31" s="527"/>
      <c r="G31" s="527"/>
      <c r="H31" s="527"/>
      <c r="I31" s="527"/>
      <c r="J31" s="527"/>
      <c r="K31" s="527"/>
      <c r="L31" s="527"/>
      <c r="M31" s="528"/>
    </row>
    <row r="32" spans="2:13" ht="14.45" thickBot="1"/>
    <row r="33" spans="2:13" ht="21" customHeight="1">
      <c r="B33" s="535" t="s">
        <v>143</v>
      </c>
      <c r="C33" s="536"/>
      <c r="D33" s="537"/>
      <c r="E33" s="105" t="s">
        <v>144</v>
      </c>
      <c r="F33" s="105" t="s">
        <v>145</v>
      </c>
      <c r="G33" s="538" t="s">
        <v>146</v>
      </c>
      <c r="H33" s="536"/>
      <c r="I33" s="536"/>
      <c r="J33" s="536"/>
      <c r="K33" s="539"/>
    </row>
    <row r="34" spans="2:13">
      <c r="B34" s="544"/>
      <c r="C34" s="545"/>
      <c r="D34" s="545"/>
      <c r="E34" s="95"/>
      <c r="F34" s="87"/>
      <c r="G34" s="546"/>
      <c r="H34" s="546"/>
      <c r="I34" s="546"/>
      <c r="J34" s="546"/>
      <c r="K34" s="547"/>
    </row>
    <row r="35" spans="2:13">
      <c r="B35" s="544"/>
      <c r="C35" s="545"/>
      <c r="D35" s="545"/>
      <c r="E35" s="95"/>
      <c r="F35" s="87"/>
      <c r="G35" s="546"/>
      <c r="H35" s="546"/>
      <c r="I35" s="546"/>
      <c r="J35" s="546"/>
      <c r="K35" s="547"/>
    </row>
    <row r="36" spans="2:13">
      <c r="B36" s="544"/>
      <c r="C36" s="545"/>
      <c r="D36" s="545"/>
      <c r="E36" s="95"/>
      <c r="F36" s="87"/>
      <c r="G36" s="546"/>
      <c r="H36" s="546"/>
      <c r="I36" s="546"/>
      <c r="J36" s="546"/>
      <c r="K36" s="547"/>
    </row>
    <row r="37" spans="2:13">
      <c r="B37" s="548"/>
      <c r="C37" s="549"/>
      <c r="D37" s="549"/>
      <c r="E37" s="95"/>
      <c r="F37" s="87"/>
      <c r="G37" s="546"/>
      <c r="H37" s="546"/>
      <c r="I37" s="546"/>
      <c r="J37" s="546"/>
      <c r="K37" s="547"/>
    </row>
    <row r="38" spans="2:13">
      <c r="B38" s="548"/>
      <c r="C38" s="549"/>
      <c r="D38" s="549"/>
      <c r="E38" s="95"/>
      <c r="F38" s="87"/>
      <c r="G38" s="546"/>
      <c r="H38" s="546"/>
      <c r="I38" s="546"/>
      <c r="J38" s="546"/>
      <c r="K38" s="547"/>
    </row>
    <row r="39" spans="2:13" ht="14.45" thickBot="1">
      <c r="B39" s="550" t="s">
        <v>147</v>
      </c>
      <c r="C39" s="551"/>
      <c r="D39" s="551"/>
      <c r="E39" s="551"/>
      <c r="F39" s="106">
        <f>SUM(F34:F38)</f>
        <v>0</v>
      </c>
      <c r="G39" s="552"/>
      <c r="H39" s="553"/>
      <c r="I39" s="553"/>
      <c r="J39" s="553"/>
      <c r="K39" s="554"/>
      <c r="L39" s="78"/>
      <c r="M39" s="78"/>
    </row>
    <row r="40" spans="2:13">
      <c r="F40" s="67"/>
    </row>
    <row r="41" spans="2:13" ht="32.450000000000003" customHeight="1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B37:D37"/>
    <mergeCell ref="G37:K37"/>
    <mergeCell ref="B38:D38"/>
    <mergeCell ref="G38:K38"/>
    <mergeCell ref="B39:E39"/>
    <mergeCell ref="G39:K39"/>
    <mergeCell ref="B34:D34"/>
    <mergeCell ref="G34:K34"/>
    <mergeCell ref="B35:D35"/>
    <mergeCell ref="G35:K35"/>
    <mergeCell ref="B36:D36"/>
    <mergeCell ref="G36:K36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C6:D6"/>
    <mergeCell ref="H6:K6"/>
    <mergeCell ref="B2:M2"/>
    <mergeCell ref="D4:E4"/>
    <mergeCell ref="H4:K4"/>
    <mergeCell ref="D5:E5"/>
    <mergeCell ref="H5:K5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disablePrompts="1"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Normal="100" zoomScaleSheetLayoutView="70" workbookViewId="0">
      <pane ySplit="9" topLeftCell="A10" activePane="bottomLeft" state="frozen"/>
      <selection pane="bottomLeft" activeCell="C16" sqref="C16:F16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85546875" bestFit="1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0"/>
      <c r="B1" s="70"/>
      <c r="C1" s="70"/>
      <c r="D1" s="70"/>
      <c r="E1" s="70"/>
      <c r="F1" s="70"/>
      <c r="G1" s="70"/>
      <c r="H1" s="107"/>
      <c r="I1" s="108"/>
      <c r="J1" s="109"/>
      <c r="K1" s="107"/>
      <c r="L1" s="107"/>
      <c r="M1" s="107"/>
      <c r="N1" s="107"/>
      <c r="O1" s="107"/>
      <c r="P1" s="107"/>
      <c r="Q1" s="66"/>
      <c r="R1" s="66"/>
      <c r="S1" s="70"/>
      <c r="T1" s="70"/>
      <c r="U1" s="70"/>
      <c r="V1" s="70"/>
    </row>
    <row r="2" spans="1:22" ht="28.15" customHeight="1" thickBot="1">
      <c r="A2" s="70"/>
      <c r="B2" s="517" t="s">
        <v>148</v>
      </c>
      <c r="C2" s="518"/>
      <c r="D2" s="518"/>
      <c r="E2" s="518"/>
      <c r="F2" s="518"/>
      <c r="G2" s="518"/>
      <c r="H2" s="518"/>
      <c r="I2" s="518"/>
      <c r="J2" s="518"/>
      <c r="K2" s="519"/>
      <c r="L2" s="517" t="s">
        <v>149</v>
      </c>
      <c r="M2" s="518"/>
      <c r="N2" s="518"/>
      <c r="O2" s="518"/>
      <c r="P2" s="519"/>
      <c r="Q2" s="66"/>
      <c r="R2" s="66"/>
      <c r="S2" s="70"/>
      <c r="T2" s="70"/>
      <c r="U2" s="70"/>
      <c r="V2" s="70"/>
    </row>
    <row r="3" spans="1:22" ht="6.75" customHeight="1">
      <c r="A3" s="7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66"/>
      <c r="R3" s="66"/>
      <c r="S3" s="70"/>
      <c r="T3" s="70"/>
      <c r="U3" s="70"/>
      <c r="V3" s="70"/>
    </row>
    <row r="4" spans="1:22" ht="5.25" customHeight="1">
      <c r="A4" s="70"/>
      <c r="B4" s="70"/>
      <c r="C4" s="70"/>
      <c r="D4" s="70"/>
      <c r="E4" s="70"/>
      <c r="F4" s="107"/>
      <c r="G4" s="107"/>
      <c r="H4" s="107"/>
      <c r="I4" s="107"/>
      <c r="J4" s="109"/>
      <c r="K4" s="107"/>
      <c r="L4" s="107"/>
      <c r="M4" s="107"/>
      <c r="N4" s="107"/>
      <c r="O4" s="107"/>
      <c r="P4" s="107"/>
      <c r="Q4" s="66"/>
      <c r="R4" s="66"/>
      <c r="S4" s="70"/>
      <c r="T4" s="70"/>
      <c r="U4" s="70"/>
      <c r="V4" s="70"/>
    </row>
    <row r="5" spans="1:22" ht="22.15" customHeight="1">
      <c r="A5" s="70"/>
      <c r="B5" s="70"/>
      <c r="C5" s="111" t="s">
        <v>97</v>
      </c>
      <c r="D5" s="555" t="str">
        <f>'Recettes et simulat'!D4</f>
        <v>Université Lumière Lyon 2</v>
      </c>
      <c r="E5" s="556"/>
      <c r="F5" s="70"/>
      <c r="G5" s="111" t="s">
        <v>99</v>
      </c>
      <c r="H5" s="555" t="str">
        <f>'Recettes et simulat'!H4</f>
        <v>Master</v>
      </c>
      <c r="I5" s="557"/>
      <c r="J5" s="557"/>
      <c r="K5" s="556"/>
      <c r="L5" s="107"/>
      <c r="M5" s="107"/>
      <c r="N5" s="107"/>
      <c r="O5" s="107"/>
      <c r="P5" s="107"/>
      <c r="Q5" s="66"/>
      <c r="R5" s="66"/>
      <c r="S5" s="70"/>
      <c r="T5" s="70"/>
      <c r="U5" s="74" t="s">
        <v>108</v>
      </c>
      <c r="V5" s="70"/>
    </row>
    <row r="6" spans="1:22" ht="22.15" customHeight="1">
      <c r="A6" s="70"/>
      <c r="B6" s="70"/>
      <c r="C6" s="110" t="s">
        <v>101</v>
      </c>
      <c r="D6" s="555" t="str">
        <f>'Recettes et simulat'!D5</f>
        <v>En cours</v>
      </c>
      <c r="E6" s="556"/>
      <c r="F6" s="70"/>
      <c r="G6" s="111" t="s">
        <v>150</v>
      </c>
      <c r="H6" s="555" t="str">
        <f>'Recettes et simulat'!H5</f>
        <v>Nouvelles Pratiques Journalistiques (NPJ)</v>
      </c>
      <c r="I6" s="557"/>
      <c r="J6" s="557"/>
      <c r="K6" s="556"/>
      <c r="L6" s="107"/>
      <c r="M6" s="107"/>
      <c r="N6" s="107"/>
      <c r="O6" s="107"/>
      <c r="P6" s="107"/>
      <c r="Q6" s="66"/>
      <c r="R6" s="66"/>
      <c r="S6" s="70"/>
      <c r="T6" s="70"/>
      <c r="U6" s="70"/>
      <c r="V6" s="70"/>
    </row>
    <row r="7" spans="1:22" ht="22.15" customHeight="1">
      <c r="A7" s="70"/>
      <c r="B7" s="70"/>
      <c r="C7" s="112" t="s">
        <v>105</v>
      </c>
      <c r="D7" s="113"/>
      <c r="E7" s="114">
        <f>'Recettes et simulat'!E6</f>
        <v>24</v>
      </c>
      <c r="F7" s="70"/>
      <c r="G7" s="111" t="s">
        <v>106</v>
      </c>
      <c r="H7" s="555" t="str">
        <f>'Recettes et simulat'!H6</f>
        <v>ICOM - Institut de Communication</v>
      </c>
      <c r="I7" s="557"/>
      <c r="J7" s="557"/>
      <c r="K7" s="556"/>
      <c r="L7" s="107"/>
      <c r="M7" s="107"/>
      <c r="N7" s="107"/>
      <c r="O7" s="107"/>
      <c r="P7" s="107"/>
      <c r="Q7" s="66"/>
      <c r="R7" s="66"/>
      <c r="S7" s="70"/>
      <c r="T7" s="70"/>
      <c r="U7" s="70"/>
      <c r="V7" s="70"/>
    </row>
    <row r="8" spans="1:22" ht="22.15" customHeight="1">
      <c r="A8" s="70"/>
      <c r="B8" s="70"/>
      <c r="C8" s="112" t="s">
        <v>109</v>
      </c>
      <c r="D8" s="113"/>
      <c r="E8" s="114">
        <f>'Recettes et simulat'!E7</f>
        <v>7</v>
      </c>
      <c r="F8" s="70"/>
      <c r="G8" s="75" t="s">
        <v>110</v>
      </c>
      <c r="H8" s="70"/>
      <c r="I8" s="70"/>
      <c r="J8" s="115">
        <f>'Recettes et simulat'!J7</f>
        <v>2022</v>
      </c>
      <c r="K8" s="115">
        <f>'Recettes et simulat'!K7</f>
        <v>2023</v>
      </c>
      <c r="L8" s="70"/>
      <c r="M8" s="70"/>
      <c r="N8" s="70"/>
      <c r="O8" s="70"/>
      <c r="P8" s="70"/>
      <c r="Q8" s="66"/>
      <c r="R8" s="66"/>
      <c r="S8" s="70"/>
      <c r="T8" s="70"/>
      <c r="U8" s="70"/>
      <c r="V8" s="70"/>
    </row>
    <row r="9" spans="1:22" ht="22.15" customHeight="1">
      <c r="A9" s="70"/>
      <c r="B9" s="70"/>
      <c r="C9" s="70"/>
      <c r="D9" s="70"/>
      <c r="E9" s="70"/>
      <c r="F9" s="70"/>
      <c r="G9" s="116"/>
      <c r="H9" s="70"/>
      <c r="I9" s="70"/>
      <c r="J9" s="70"/>
      <c r="K9" s="70"/>
      <c r="L9" s="70"/>
      <c r="M9" s="70"/>
      <c r="N9" s="70"/>
      <c r="O9" s="70"/>
      <c r="P9" s="70"/>
      <c r="Q9" s="66"/>
      <c r="R9" s="66"/>
      <c r="S9" s="70"/>
      <c r="T9" s="70"/>
      <c r="U9" s="117"/>
      <c r="V9" s="117"/>
    </row>
    <row r="10" spans="1:22" s="118" customFormat="1" ht="16.899999999999999" customHeight="1" thickBot="1">
      <c r="C10" s="119"/>
      <c r="D10" s="119"/>
      <c r="E10" s="119"/>
      <c r="F10" s="119"/>
      <c r="G10" s="120"/>
      <c r="H10" s="120"/>
      <c r="I10" s="121"/>
      <c r="Q10" s="66"/>
      <c r="R10" s="122"/>
      <c r="S10" s="70"/>
      <c r="T10" s="117"/>
      <c r="U10" s="66"/>
      <c r="V10" s="70"/>
    </row>
    <row r="11" spans="1:22" ht="24.6" customHeight="1" thickBot="1">
      <c r="A11" s="70"/>
      <c r="B11" s="517" t="s">
        <v>151</v>
      </c>
      <c r="C11" s="518"/>
      <c r="D11" s="518"/>
      <c r="E11" s="518"/>
      <c r="F11" s="518"/>
      <c r="G11" s="518"/>
      <c r="H11" s="518"/>
      <c r="I11" s="518"/>
      <c r="J11" s="518"/>
      <c r="K11" s="519"/>
      <c r="L11" s="123"/>
      <c r="M11" s="124"/>
      <c r="N11" s="124"/>
      <c r="O11" s="124"/>
      <c r="P11" s="125"/>
      <c r="Q11" s="66"/>
      <c r="R11" s="66"/>
      <c r="S11" s="70"/>
      <c r="T11" s="66"/>
      <c r="U11" s="66"/>
      <c r="V11" s="66"/>
    </row>
    <row r="12" spans="1:22" s="66" customFormat="1" ht="12.6" customHeight="1" thickBot="1">
      <c r="B12" s="126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8"/>
      <c r="V12" s="70"/>
    </row>
    <row r="13" spans="1:22" s="70" customFormat="1" ht="69.599999999999994" thickBot="1">
      <c r="B13" s="129" t="s">
        <v>152</v>
      </c>
      <c r="C13" s="561" t="s">
        <v>153</v>
      </c>
      <c r="D13" s="562"/>
      <c r="E13" s="562"/>
      <c r="F13" s="563"/>
      <c r="G13" s="130" t="s">
        <v>154</v>
      </c>
      <c r="H13" s="131" t="s">
        <v>155</v>
      </c>
      <c r="I13" s="131" t="s">
        <v>156</v>
      </c>
      <c r="J13" s="132" t="s">
        <v>157</v>
      </c>
      <c r="K13" s="133" t="s">
        <v>158</v>
      </c>
      <c r="L13" s="134" t="s">
        <v>159</v>
      </c>
      <c r="M13" s="135" t="s">
        <v>160</v>
      </c>
      <c r="N13" s="135" t="s">
        <v>161</v>
      </c>
      <c r="O13" s="136" t="s">
        <v>162</v>
      </c>
      <c r="P13" s="137" t="s">
        <v>0</v>
      </c>
      <c r="Q13" s="138"/>
      <c r="R13" s="139"/>
      <c r="T13" s="66"/>
      <c r="U13" s="66"/>
      <c r="V13" s="118"/>
    </row>
    <row r="14" spans="1:22" s="118" customFormat="1" ht="21.6" customHeight="1" thickBot="1">
      <c r="B14" s="140" t="s">
        <v>163</v>
      </c>
      <c r="C14" s="141"/>
      <c r="D14" s="142"/>
      <c r="E14" s="142"/>
      <c r="F14" s="142"/>
      <c r="G14" s="143">
        <f>G20+G27+G32</f>
        <v>365.76</v>
      </c>
      <c r="H14" s="144">
        <f>IF(G20+G27+G32=0,0,(I20+I27+I32)/(G20+G27+G32))</f>
        <v>152.98031496062993</v>
      </c>
      <c r="I14" s="145">
        <f>I20+I32+I27</f>
        <v>55954.080000000002</v>
      </c>
      <c r="J14" s="146">
        <f>J20+J32+J27</f>
        <v>34525.640000000007</v>
      </c>
      <c r="K14" s="147">
        <f>K20+K32+K27</f>
        <v>21428.440000000002</v>
      </c>
      <c r="L14" s="148">
        <f>L20+L32+L27</f>
        <v>0</v>
      </c>
      <c r="M14" s="144">
        <f>M20+M32+M27</f>
        <v>0</v>
      </c>
      <c r="N14" s="145">
        <f t="shared" ref="N14:O14" si="0">N20+N32+N27</f>
        <v>0</v>
      </c>
      <c r="O14" s="144">
        <f t="shared" si="0"/>
        <v>0</v>
      </c>
      <c r="P14" s="147">
        <f>P20+P32+P27</f>
        <v>0</v>
      </c>
      <c r="Q14" s="149">
        <f>IF($K$72=0,0,K14/$K$72)</f>
        <v>0.44665846795205844</v>
      </c>
      <c r="R14" s="150" t="s">
        <v>164</v>
      </c>
      <c r="S14" s="70"/>
      <c r="T14" s="66"/>
      <c r="U14" s="66"/>
      <c r="V14" s="70"/>
    </row>
    <row r="15" spans="1:22" s="70" customFormat="1" ht="16.899999999999999" customHeight="1" outlineLevel="1">
      <c r="B15" s="151" t="s">
        <v>165</v>
      </c>
      <c r="C15" s="152" t="s">
        <v>166</v>
      </c>
      <c r="D15" s="153"/>
      <c r="E15" s="153"/>
      <c r="F15" s="154"/>
      <c r="G15" s="155"/>
      <c r="H15" s="156"/>
      <c r="I15" s="155"/>
      <c r="J15" s="155"/>
      <c r="K15" s="157"/>
      <c r="L15" s="158"/>
      <c r="M15" s="156"/>
      <c r="N15" s="156"/>
      <c r="O15" s="156"/>
      <c r="P15" s="157"/>
      <c r="Q15" s="409"/>
      <c r="R15" s="168">
        <f>SUMIF(Enseignements!$G$8:$G$100,Paramétrage!$D$6,Enseignements!W$8:W$100)*Paramétrage!$G$6+SUMIF(Enseignements!$G$8:$G$100,Paramétrage!$D$7,Enseignements!W$8:W$100)*Paramétrage!$G$7+SUMIF(Enseignements!$G$8:$G$100,Paramétrage!$D$8,Enseignements!W$8:W$100)*Paramétrage!$G$8+SUMIF(Enseignements!$G$8:$G$100,Paramétrage!$D$9,Enseignements!W$8:W$100)*Paramétrage!$G$9+SUMIF(Enseignements!$G$8:$G$100,Paramétrage!$D$10,Enseignements!W$8:W$100)*Paramétrage!$G$10+SUMIF(Enseignements!$G$8:$G$100,Paramétrage!$D$11,Enseignements!W$8:W$100)*Paramétrage!$G$11+SUMIF(Enseignements!$G$8:$G$100,Paramétrage!$D$12,Enseignements!W$8:W$100)*Paramétrage!$G$12+SUMIF(Enseignements!$G$8:$G$100,Paramétrage!$D$13,Enseignements!W$8:W$100)*Paramétrage!$G$13+SUMIF(Enseignements!$G$8:$G$100,Paramétrage!$D$14,Enseignements!W$8:W$100)*Paramétrage!$G$14+SUMIF(Enseignements!$G$8:$G$100,Paramétrage!$D$15,Enseignements!W$8:W$100)*Paramétrage!$G$15+SUMIF(Enseignements!$G$8:$G$100,Paramétrage!$D$16,Enseignements!W$8:W$100)*Paramétrage!$G$16+SUMIF(Enseignements!$G$8:$G$100,Paramétrage!$D$17,Enseignements!W$8:W$100)*Paramétrage!$G$17+SUMIF(Enseignements!$G$8:$G$100,Paramétrage!$D$18,Enseignements!W$8:W$100)*Paramétrage!$G$18+SUMIF(Enseignements!$G$8:$G$100,Paramétrage!$D$19,Enseignements!W$8:W$100)*Paramétrage!$G$19+SUMIF(Enseignements!$G$8:$G$100,Paramétrage!$D$20,Enseignements!W$8:W$100)*Paramétrage!$G$20+SUMIF(Enseignements!$G$8:$G$100,Paramétrage!$D$21,Enseignements!W$8:W$100)*Paramétrage!$G$21+SUMIF(Enseignements!$G$8:$G$100,Paramétrage!$D$22,Enseignements!W$8:W$100)*Paramétrage!$G$22+SUMIF(Enseignements!$G$8:$G$100,Paramétrage!$D$23,Enseignements!W$8:W$100)*Paramétrage!$G$23+SUMIF(Enseignements!$G$8:$G$100,Paramétrage!$D$24,Enseignements!W$8:W$100)*Paramétrage!$G$24+SUMIF(Enseignements!$G$8:$G$100,Paramétrage!$D$25,Enseignements!W$8:W$100)*Paramétrage!$G$25+SUMIF(Enseignements!$G$8:$G$100,Paramétrage!$D$26,Enseignements!W$8:W$100)*Paramétrage!$G$26+SUMIF(Enseignements!$G$8:$G$100,Paramétrage!$D$27,Enseignements!W$8:W$100)*Paramétrage!$G$27</f>
        <v>120.8</v>
      </c>
      <c r="S15" s="85"/>
      <c r="T15" s="160"/>
      <c r="U15" s="85"/>
      <c r="V15" s="118"/>
    </row>
    <row r="16" spans="1:22" s="118" customFormat="1" ht="16.899999999999999" customHeight="1" outlineLevel="1">
      <c r="B16" s="161" t="s">
        <v>167</v>
      </c>
      <c r="C16" s="558" t="s">
        <v>23</v>
      </c>
      <c r="D16" s="559"/>
      <c r="E16" s="559"/>
      <c r="F16" s="560"/>
      <c r="G16" s="114">
        <f>SUMIF(Enseignements!$G$8:$G$100,Paramétrage!$D$6,Enseignements!U$8:U$100)*Paramétrage!$G$6+SUMIF(Enseignements!$G$8:$G$100,Paramétrage!$D$7,Enseignements!U$8:U$100)*Paramétrage!$G$7+SUMIF(Enseignements!$G$8:$G$100,Paramétrage!$D$8,Enseignements!U$8:U$100)*Paramétrage!$G$8+SUMIF(Enseignements!$G$8:$G$100,Paramétrage!$D$10,Enseignements!U$8:U$100)*Paramétrage!$G$10+SUMIF(Enseignements!$G$8:$G$100,Paramétrage!$D$11,Enseignements!U$8:U$100)*Paramétrage!$G$11+SUMIF(Enseignements!$G$8:$G$100,Paramétrage!$D$13,Enseignements!U$8:U$100)*Paramétrage!$G$13+SUMIF(Enseignements!$G$8:$G$100,Paramétrage!$D$14,Enseignements!U$8:U$100)*Paramétrage!$G$14+SUMIF(Enseignements!$G$8:$G$100,Paramétrage!$D$16,Enseignements!U$8:U$100)*Paramétrage!$G$16+SUMIF(Enseignements!$G$8:$G$100,Paramétrage!$D$17,Enseignements!U$8:U$100)*Paramétrage!$G$17+SUMIF(Enseignements!$G$8:$G$100,Paramétrage!$D$19,Enseignements!U$8:U$100)*Paramétrage!$G$19+SUMIF(Enseignements!$G$8:$G$100,Paramétrage!$D$20,Enseignements!U$8:U$100)*Paramétrage!$G$20+SUMIF(Enseignements!$G$8:$G$100,Paramétrage!$D$21,Enseignements!U$8:U$100)*Paramétrage!$G$21+SUMIF(Enseignements!$G$8:$G$100,Paramétrage!$D$23,Enseignements!U$8:U$100)*Paramétrage!$G$23+SUMIF(Enseignements!$G$8:$G$100,Paramétrage!$D$24,Enseignements!U$8:U$100)*Paramétrage!$G$24+SUMIF(Enseignements!$G$8:$G$100,Paramétrage!$D$26,Enseignements!U$8:U$100)*Paramétrage!$G$26+SUMIF(Enseignements!$G$8:$G$100,Paramétrage!$D$27,Enseignements!U$8:U$100)*Paramétrage!$G$27</f>
        <v>130.96</v>
      </c>
      <c r="H16" s="163">
        <v>218</v>
      </c>
      <c r="I16" s="164">
        <f>H16*G16</f>
        <v>28549.280000000002</v>
      </c>
      <c r="J16" s="164">
        <f>I16-K16</f>
        <v>20222.406666666669</v>
      </c>
      <c r="K16" s="165">
        <f>IF($E$7=0,0,I16/$E$7*$E$8)</f>
        <v>8326.8733333333348</v>
      </c>
      <c r="L16" s="166"/>
      <c r="M16" s="76"/>
      <c r="N16" s="76"/>
      <c r="O16" s="76"/>
      <c r="P16" s="167">
        <f>SUM(L16:O16)</f>
        <v>0</v>
      </c>
      <c r="Q16" s="168">
        <f>IF($I16=0,0,$G16*$J16/$I16)</f>
        <v>92.76333333333335</v>
      </c>
      <c r="R16" s="168"/>
      <c r="S16" s="168">
        <f>SUMIF(Enseignements!$G$8:$G$100,Paramétrage!$D$6,Enseignements!U$8:U$100)*Paramétrage!$G$6+SUMIF(Enseignements!$G$8:$G$100,Paramétrage!$D$7,Enseignements!U$8:U$100)*Paramétrage!$G$7+SUMIF(Enseignements!$G$8:$G$100,Paramétrage!$D$8,Enseignements!U$8:U$100)*Paramétrage!$G$8+SUMIF(Enseignements!$G$8:$G$100,Paramétrage!$D$10,Enseignements!U$8:U$100)*Paramétrage!$G$10+SUMIF(Enseignements!$G$8:$G$100,Paramétrage!$D$11,Enseignements!U$8:U$100)*Paramétrage!$G$11+SUMIF(Enseignements!$G$8:$G$100,Paramétrage!$D$13,Enseignements!U$8:U$100)*Paramétrage!$G$13+SUMIF(Enseignements!$G$8:$G$100,Paramétrage!$D$14,Enseignements!U$8:U$100)*Paramétrage!$G$14+SUMIF(Enseignements!$G$8:$G$100,Paramétrage!$D$16,Enseignements!U$8:U$100)*Paramétrage!$G$16+SUMIF(Enseignements!$G$8:$G$100,Paramétrage!$D$17,Enseignements!U$8:U$100)*Paramétrage!$G$17+SUMIF(Enseignements!$G$8:$G$100,Paramétrage!$D$19,Enseignements!U$8:U$100)*Paramétrage!$G$19+SUMIF(Enseignements!$G$8:$G$100,Paramétrage!$D$20,Enseignements!U$8:U$100)*Paramétrage!$G$20+SUMIF(Enseignements!$G$8:$G$100,Paramétrage!$D$21,Enseignements!U$8:U$100)*Paramétrage!$G$21+SUMIF(Enseignements!$G$8:$G$100,Paramétrage!$D$23,Enseignements!U$8:U$100)*Paramétrage!$G$23+SUMIF(Enseignements!$G$8:$G$100,Paramétrage!$D$24,Enseignements!U$8:U$100)*Paramétrage!$G$24+SUMIF(Enseignements!$G$8:$G$100,Paramétrage!$D$26,Enseignements!U$8:U$100)*Paramétrage!$G$26+SUMIF(Enseignements!$G$8:$G$100,Paramétrage!$D$27,Enseignements!U$8:U$100)*Paramétrage!$G$27</f>
        <v>130.96</v>
      </c>
      <c r="T16" s="168"/>
      <c r="U16" s="168"/>
      <c r="V16" s="169"/>
    </row>
    <row r="17" spans="2:23" s="118" customFormat="1" ht="16.899999999999999" customHeight="1" outlineLevel="1">
      <c r="B17" s="161" t="s">
        <v>168</v>
      </c>
      <c r="C17" s="558" t="s">
        <v>24</v>
      </c>
      <c r="D17" s="559"/>
      <c r="E17" s="559"/>
      <c r="F17" s="560"/>
      <c r="G17" s="114">
        <f>SUMIF(Enseignements!$G$8:$G$100,Paramétrage!$D$6,Enseignements!V$8:V$100)*Paramétrage!$G$6+SUMIF(Enseignements!$G$8:$G$100,Paramétrage!$D$7,Enseignements!V$8:V$100)*Paramétrage!$G$7+SUMIF(Enseignements!$G$8:$G$100,Paramétrage!$D$8,Enseignements!V$8:V$100)*Paramétrage!$G$8+SUMIF(Enseignements!$G$8:$G$100,Paramétrage!$D$10,Enseignements!V$8:V$100)*Paramétrage!$G$10+SUMIF(Enseignements!$G$8:$G$100,Paramétrage!$D$11,Enseignements!V$8:V$100)*Paramétrage!$G$11+SUMIF(Enseignements!$G$8:$G$100,Paramétrage!$D$13,Enseignements!V$8:V$100)*Paramétrage!$G$13+SUMIF(Enseignements!$G$8:$G$100,Paramétrage!$D$14,Enseignements!V$8:V$100)*Paramétrage!$G$14+SUMIF(Enseignements!$G$8:$G$100,Paramétrage!$D$16,Enseignements!V$8:V$100)*Paramétrage!$G$16+SUMIF(Enseignements!$G$8:$G$100,Paramétrage!$D$17,Enseignements!V$8:V$100)*Paramétrage!$G$17+SUMIF(Enseignements!$G$8:$G$100,Paramétrage!$D$19,Enseignements!V$8:V$100)*Paramétrage!$G$19+SUMIF(Enseignements!$G$8:$G$100,Paramétrage!$D$20,Enseignements!V$8:V$100)*Paramétrage!$G$20+SUMIF(Enseignements!$G$8:$G$100,Paramétrage!$D$21,Enseignements!V$8:V$100)*Paramétrage!$G$21+SUMIF(Enseignements!$G$8:$G$100,Paramétrage!$D$23,Enseignements!V$8:V$100)*Paramétrage!$G$23+SUMIF(Enseignements!$G$8:$G$100,Paramétrage!$D$24,Enseignements!V$8:V$100)*Paramétrage!$G$24+SUMIF(Enseignements!$G$8:$G$100,Paramétrage!$D$26,Enseignements!V$8:V$100)*Paramétrage!$G$26+SUMIF(Enseignements!$G$8:$G$100,Paramétrage!$D$27,Enseignements!V$8:V$100)*Paramétrage!$G$27</f>
        <v>21</v>
      </c>
      <c r="H17" s="163">
        <v>110</v>
      </c>
      <c r="I17" s="170">
        <f>H17*G17</f>
        <v>2310</v>
      </c>
      <c r="J17" s="164">
        <f t="shared" ref="J17:J19" si="1">I17-K17</f>
        <v>1636.25</v>
      </c>
      <c r="K17" s="165">
        <f t="shared" ref="K17:K19" si="2">IF($E$7=0,0,I17/$E$7*$E$8)</f>
        <v>673.75</v>
      </c>
      <c r="L17" s="166"/>
      <c r="M17" s="76"/>
      <c r="N17" s="76"/>
      <c r="O17" s="76"/>
      <c r="P17" s="171">
        <f>SUM(L17:O17)</f>
        <v>0</v>
      </c>
      <c r="Q17" s="168">
        <f>IF($I17=0,0,$G17*$J17/$I17)</f>
        <v>14.875</v>
      </c>
      <c r="R17" s="168"/>
      <c r="S17" s="168"/>
    </row>
    <row r="18" spans="2:23" s="118" customFormat="1" ht="16.899999999999999" customHeight="1" outlineLevel="1">
      <c r="B18" s="161" t="s">
        <v>169</v>
      </c>
      <c r="C18" s="558" t="s">
        <v>170</v>
      </c>
      <c r="D18" s="559"/>
      <c r="E18" s="559"/>
      <c r="F18" s="560"/>
      <c r="G18" s="114">
        <f>SUMIF(Enseignements!$G$8:$G$100,Paramétrage!$D$6,Enseignements!W$8:W$100)*Paramétrage!$G$6+SUMIF(Enseignements!$G$8:$G$100,Paramétrage!$D$7,Enseignements!W$8:W$100)*Paramétrage!$G$7+SUMIF(Enseignements!$G$8:$G$100,Paramétrage!$D$8,Enseignements!W$8:W$100)*Paramétrage!$G$8+SUMIF(Enseignements!$G$8:$G$100,Paramétrage!$D$10,Enseignements!W$8:W$100)*Paramétrage!$G$10+SUMIF(Enseignements!$G$8:$G$100,Paramétrage!$D$11,Enseignements!W$8:W$100)*Paramétrage!$G$11+SUMIF(Enseignements!$G$8:$G$100,Paramétrage!$D$13,Enseignements!W$8:W$100)*Paramétrage!$G$13+SUMIF(Enseignements!$G$8:$G$100,Paramétrage!$D$14,Enseignements!W$8:W$100)*Paramétrage!$G$14+SUMIF(Enseignements!$G$8:$G$100,Paramétrage!$D$16,Enseignements!W$8:W$100)*Paramétrage!$G$16+SUMIF(Enseignements!$G$8:$G$100,Paramétrage!$D$17,Enseignements!W$8:W$100)*Paramétrage!$G$17+SUMIF(Enseignements!$G$8:$G$100,Paramétrage!$D$19,Enseignements!W$8:W$100)*Paramétrage!$G$19+SUMIF(Enseignements!$G$8:$G$100,Paramétrage!$D$20,Enseignements!W$8:W$100)*Paramétrage!$G$20+SUMIF(Enseignements!$G$8:$G$100,Paramétrage!$D$21,Enseignements!W$8:W$100)*Paramétrage!$G$21+SUMIF(Enseignements!$G$8:$G$100,Paramétrage!$D$23,Enseignements!W$8:W$100)*Paramétrage!$G$23+SUMIF(Enseignements!$G$8:$G$100,Paramétrage!$D$24,Enseignements!W$8:W$100)*Paramétrage!$G$24+SUMIF(Enseignements!$G$8:$G$100,Paramétrage!$D$26,Enseignements!W$8:W$100)*Paramétrage!$G$26+SUMIF(Enseignements!$G$8:$G$100,Paramétrage!$D$27,Enseignements!W$8:W$100)*Paramétrage!$G$27</f>
        <v>106.8</v>
      </c>
      <c r="H18" s="163">
        <v>56</v>
      </c>
      <c r="I18" s="170">
        <f>H18*G18</f>
        <v>5980.8</v>
      </c>
      <c r="J18" s="164">
        <f t="shared" si="1"/>
        <v>4236.3999999999996</v>
      </c>
      <c r="K18" s="165">
        <f t="shared" si="2"/>
        <v>1744.4</v>
      </c>
      <c r="L18" s="166"/>
      <c r="M18" s="76"/>
      <c r="N18" s="76"/>
      <c r="O18" s="76"/>
      <c r="P18" s="171">
        <f>SUM(L18:O18)</f>
        <v>0</v>
      </c>
      <c r="Q18" s="168">
        <f>IF($I18=0,0,$G18*$J18/$I18)</f>
        <v>75.649999999999991</v>
      </c>
      <c r="R18" s="168">
        <f>G18</f>
        <v>106.8</v>
      </c>
      <c r="S18" s="410">
        <f>R18*H18</f>
        <v>5980.8</v>
      </c>
      <c r="T18" s="168"/>
      <c r="V18" s="169"/>
    </row>
    <row r="19" spans="2:23" s="118" customFormat="1" ht="18.600000000000001" customHeight="1" outlineLevel="1">
      <c r="B19" s="161" t="s">
        <v>171</v>
      </c>
      <c r="C19" s="558" t="s">
        <v>172</v>
      </c>
      <c r="D19" s="559"/>
      <c r="E19" s="559"/>
      <c r="F19" s="560"/>
      <c r="G19" s="114">
        <f>SUMIF(Enseignements!$G$8:$G$100,Paramétrage!$D$6,Enseignements!X$8:X$100)*Paramétrage!$G$6+SUMIF(Enseignements!$G$8:$G$100,Paramétrage!$D$7,Enseignements!X$8:X$100)*Paramétrage!$G$7+SUMIF(Enseignements!$G$8:$G$100,Paramétrage!$D$8,Enseignements!X$8:X$100)*Paramétrage!$G$8+SUMIF(Enseignements!$G$8:$G$100,Paramétrage!$D$10,Enseignements!X$8:X$100)*Paramétrage!$G$10+SUMIF(Enseignements!$G$8:$G$100,Paramétrage!$D$11,Enseignements!X$8:X$100)*Paramétrage!$G$11+SUMIF(Enseignements!$G$8:$G$100,Paramétrage!$D$13,Enseignements!X$8:X$100)*Paramétrage!$G$13+SUMIF(Enseignements!$G$8:$G$100,Paramétrage!$D$14,Enseignements!X$8:X$100)*Paramétrage!$G$14+SUMIF(Enseignements!$G$8:$G$100,Paramétrage!$D$16,Enseignements!X$8:X$100)*Paramétrage!$G$16+SUMIF(Enseignements!$G$8:$G$100,Paramétrage!$D$17,Enseignements!X$8:X$100)*Paramétrage!$G$17+SUMIF(Enseignements!$G$8:$G$100,Paramétrage!$D$19,Enseignements!X$8:X$100)*Paramétrage!$G$19+SUMIF(Enseignements!$G$8:$G$100,Paramétrage!$D$20,Enseignements!X$8:X$100)*Paramétrage!$G$20+SUMIF(Enseignements!$G$8:$G$100,Paramétrage!$D$21,Enseignements!X$8:X$100)*Paramétrage!$G$21+SUMIF(Enseignements!$G$8:$G$100,Paramétrage!$D$23,Enseignements!X$8:X$100)*Paramétrage!$G$23+SUMIF(Enseignements!$G$8:$G$100,Paramétrage!$D$24,Enseignements!X$8:X$100)*Paramétrage!$G$24+SUMIF(Enseignements!$G$8:$G$100,Paramétrage!$D$26,Enseignements!X$8:X$100)*Paramétrage!$G$26+SUMIF(Enseignements!$G$8:$G$100,Paramétrage!$D$27,Enseignements!X$8:X$100)*Paramétrage!$G$27</f>
        <v>0</v>
      </c>
      <c r="H19" s="172"/>
      <c r="I19" s="170">
        <f t="shared" ref="I19" si="3">H19*G19</f>
        <v>0</v>
      </c>
      <c r="J19" s="164">
        <f t="shared" si="1"/>
        <v>0</v>
      </c>
      <c r="K19" s="165">
        <f t="shared" si="2"/>
        <v>0</v>
      </c>
      <c r="L19" s="166"/>
      <c r="M19" s="166"/>
      <c r="N19" s="173"/>
      <c r="O19" s="76"/>
      <c r="P19" s="171">
        <f>SUM(L19:O19)</f>
        <v>0</v>
      </c>
      <c r="Q19" s="193">
        <f>IF($I19=0,0,$G19*$J19/$I19)</f>
        <v>0</v>
      </c>
      <c r="R19" s="168"/>
      <c r="S19" s="168"/>
      <c r="T19" s="168"/>
      <c r="U19" s="168"/>
      <c r="V19" s="169"/>
    </row>
    <row r="20" spans="2:23" s="118" customFormat="1" ht="22.15" customHeight="1" outlineLevel="1" thickBot="1">
      <c r="B20" s="564" t="s">
        <v>173</v>
      </c>
      <c r="C20" s="565"/>
      <c r="D20" s="565"/>
      <c r="E20" s="565"/>
      <c r="F20" s="566"/>
      <c r="G20" s="174">
        <f>SUM(G16:G19)</f>
        <v>258.76</v>
      </c>
      <c r="H20" s="175">
        <f>IF(G20=0,0,I20/G20)</f>
        <v>142.37161848817439</v>
      </c>
      <c r="I20" s="176">
        <f>SUM(I16:I19)</f>
        <v>36840.080000000002</v>
      </c>
      <c r="J20" s="177">
        <f>SUM(J16:J19)</f>
        <v>26095.056666666671</v>
      </c>
      <c r="K20" s="178">
        <f>SUM(K16:K19)</f>
        <v>10745.023333333334</v>
      </c>
      <c r="L20" s="179">
        <f>SUM(L16:L19)</f>
        <v>0</v>
      </c>
      <c r="M20" s="176">
        <f>SUM(M16:M19)</f>
        <v>0</v>
      </c>
      <c r="N20" s="176">
        <f t="shared" ref="N20:P20" si="4">SUM(N16:N19)</f>
        <v>0</v>
      </c>
      <c r="O20" s="176">
        <f t="shared" si="4"/>
        <v>0</v>
      </c>
      <c r="P20" s="178">
        <f t="shared" si="4"/>
        <v>0</v>
      </c>
      <c r="Q20" s="149">
        <f>IF($K$72=0,0,K20/$K$72)</f>
        <v>0.22397130449887095</v>
      </c>
      <c r="R20" s="150" t="s">
        <v>164</v>
      </c>
      <c r="S20" s="70"/>
      <c r="T20" s="66"/>
      <c r="U20" s="66"/>
      <c r="V20" s="70"/>
    </row>
    <row r="21" spans="2:23" s="70" customFormat="1" ht="16.899999999999999" customHeight="1" outlineLevel="1">
      <c r="B21" s="151" t="s">
        <v>174</v>
      </c>
      <c r="C21" s="152" t="s">
        <v>175</v>
      </c>
      <c r="D21" s="153"/>
      <c r="E21" s="153"/>
      <c r="F21" s="154"/>
      <c r="G21" s="155"/>
      <c r="H21" s="156"/>
      <c r="I21" s="155"/>
      <c r="J21" s="155"/>
      <c r="K21" s="157"/>
      <c r="L21" s="158"/>
      <c r="M21" s="156"/>
      <c r="N21" s="156"/>
      <c r="O21" s="156"/>
      <c r="P21" s="157"/>
      <c r="Q21" s="180"/>
      <c r="R21" s="66"/>
      <c r="S21" s="66"/>
      <c r="T21" s="66"/>
      <c r="U21" s="118"/>
      <c r="V21" s="118"/>
    </row>
    <row r="22" spans="2:23" s="118" customFormat="1" ht="16.899999999999999" customHeight="1" outlineLevel="1">
      <c r="B22" s="161" t="s">
        <v>176</v>
      </c>
      <c r="C22" s="415" t="s">
        <v>177</v>
      </c>
      <c r="D22" s="417"/>
      <c r="E22" s="417"/>
      <c r="F22" s="418"/>
      <c r="G22" s="162">
        <f>SUMIF(Enseignements!$G$8:$G$100,Paramétrage!D15,Enseignements!Y$8:Y$100)</f>
        <v>0</v>
      </c>
      <c r="H22" s="163">
        <f>IF(G22=0,0,(SUMIF(Enseignements!$G$8:$G$100,Paramétrage!$D$15,Enseignements!U$8:U$100)*$H$16+SUMIF(Enseignements!$G$8:$G$100,Paramétrage!$D$15,Enseignements!V$8:V$100)*$H$17+SUMIF(Enseignements!$G$8:$G$100,Paramétrage!$D$15,Enseignements!W$8:W$100)*$H$18+SUMIF(Enseignements!$G$8:$G$100,Paramétrage!$D$15,Enseignements!X$8:X$100)*$H$19)/G22)</f>
        <v>0</v>
      </c>
      <c r="I22" s="164">
        <f>H22*G22</f>
        <v>0</v>
      </c>
      <c r="J22" s="170">
        <f>I22-K22</f>
        <v>0</v>
      </c>
      <c r="K22" s="165">
        <f t="shared" ref="K22" si="5">IF($E$7=0,0,I22/$E$7*$E$8)</f>
        <v>0</v>
      </c>
      <c r="L22" s="166"/>
      <c r="M22" s="173"/>
      <c r="N22" s="173"/>
      <c r="O22" s="76"/>
      <c r="P22" s="167">
        <f>SUM(L22:O22)</f>
        <v>0</v>
      </c>
      <c r="Q22" s="168"/>
      <c r="R22" s="168">
        <f>SUMIF(Enseignements!$G$8:$G$100,Paramétrage!D15,Enseignements!W$8:W$100)</f>
        <v>0</v>
      </c>
      <c r="S22" s="410">
        <f>R22*H22</f>
        <v>0</v>
      </c>
      <c r="T22" s="193"/>
      <c r="V22" s="168"/>
      <c r="W22" s="85"/>
    </row>
    <row r="23" spans="2:23" s="118" customFormat="1" ht="16.899999999999999" customHeight="1" outlineLevel="1">
      <c r="B23" s="161" t="s">
        <v>178</v>
      </c>
      <c r="C23" s="558" t="s">
        <v>179</v>
      </c>
      <c r="D23" s="559"/>
      <c r="E23" s="559"/>
      <c r="F23" s="560"/>
      <c r="G23" s="162">
        <f>SUMIF(Enseignements!$G$8:$G$100,Paramétrage!$D$18,Enseignements!Y$8:Y$100)</f>
        <v>21</v>
      </c>
      <c r="H23" s="163">
        <f>IF(G23=0,0,(SUMIF(Enseignements!$G$8:$G$100,Paramétrage!$D$18,Enseignements!U$8:U$100)*$H$16+SUMIF(Enseignements!$G$8:$G$100,Paramétrage!$D$18,Enseignements!V$8:V$100)*$H$17+SUMIF(Enseignements!$G$8:$G$100,Paramétrage!$D$18,Enseignements!W$8:W$100)*$H$18+SUMIF(Enseignements!$G$8:$G$100,Paramétrage!$D$18,Enseignements!X$8:X$100)*$H$19)/G23)</f>
        <v>218</v>
      </c>
      <c r="I23" s="164">
        <f>H23*G23</f>
        <v>4578</v>
      </c>
      <c r="J23" s="164">
        <f>I23-K23</f>
        <v>3242.75</v>
      </c>
      <c r="K23" s="165">
        <f>IF($E$7=0,0,I23/$E$7*$E$8)</f>
        <v>1335.25</v>
      </c>
      <c r="L23" s="76"/>
      <c r="M23" s="76"/>
      <c r="N23" s="76"/>
      <c r="O23" s="76"/>
      <c r="P23" s="171">
        <f>SUM(L23:O23)</f>
        <v>0</v>
      </c>
      <c r="Q23" s="168">
        <f>IF($I23=0,0,$G23*$J23/$I23)</f>
        <v>14.875</v>
      </c>
      <c r="R23" s="168">
        <f>SUMIF(Enseignements!$G$8:$G$100,Paramétrage!D16,Enseignements!W$8:W$100)</f>
        <v>53</v>
      </c>
      <c r="S23" s="410">
        <f t="shared" ref="S23:S25" si="6">R23*H23</f>
        <v>11554</v>
      </c>
      <c r="T23" s="168"/>
      <c r="V23" s="168"/>
      <c r="W23" s="85"/>
    </row>
    <row r="24" spans="2:23" s="118" customFormat="1" ht="16.899999999999999" customHeight="1" outlineLevel="1">
      <c r="B24" s="161" t="s">
        <v>180</v>
      </c>
      <c r="C24" s="558" t="s">
        <v>181</v>
      </c>
      <c r="D24" s="559"/>
      <c r="E24" s="559"/>
      <c r="F24" s="560"/>
      <c r="G24" s="162">
        <f>SUMIF(Enseignements!$G$8:$G$100,Paramétrage!$D$9,Enseignements!Y$8:Y$100)</f>
        <v>0</v>
      </c>
      <c r="H24" s="163">
        <f>IF(G24=0,0,(SUMIF(Enseignements!$G$8:$G$100,Paramétrage!$D$9,Enseignements!U$8:U$100)*$H$16+SUMIF(Enseignements!$G$8:$G$100,Paramétrage!$D$9,Enseignements!V$8:V$100)*$H$17+SUMIF(Enseignements!$G$8:$G$100,Paramétrage!$D$9,Enseignements!W$8:W$100)*$H$18+SUMIF(Enseignements!$G$8:$G$100,Paramétrage!$D$9,Enseignements!X$8:X$100)*$H$19)/G24)</f>
        <v>0</v>
      </c>
      <c r="I24" s="164">
        <f>H24*G24</f>
        <v>0</v>
      </c>
      <c r="J24" s="170">
        <f>I24</f>
        <v>0</v>
      </c>
      <c r="K24" s="165">
        <v>0</v>
      </c>
      <c r="L24" s="166"/>
      <c r="M24" s="76"/>
      <c r="N24" s="76"/>
      <c r="O24" s="76"/>
      <c r="P24" s="171">
        <f>SUM(L24:O24)</f>
        <v>0</v>
      </c>
      <c r="Q24" s="168">
        <f>IF($I24=0,0,$G24*$J24/$I24)</f>
        <v>0</v>
      </c>
      <c r="R24" s="168">
        <f>SUMIF(Enseignements!$G$8:$G$100,Paramétrage!D17,Enseignements!W$8:W$100)</f>
        <v>0</v>
      </c>
      <c r="S24" s="410">
        <f t="shared" si="6"/>
        <v>0</v>
      </c>
      <c r="T24" s="168"/>
      <c r="V24" s="168"/>
      <c r="W24" s="85"/>
    </row>
    <row r="25" spans="2:23" s="118" customFormat="1" ht="16.899999999999999" customHeight="1" outlineLevel="1">
      <c r="B25" s="161" t="s">
        <v>182</v>
      </c>
      <c r="C25" s="558" t="s">
        <v>183</v>
      </c>
      <c r="D25" s="559"/>
      <c r="E25" s="559"/>
      <c r="F25" s="560"/>
      <c r="G25" s="162">
        <f>SUMIF(Enseignements!$G$8:$G$100,Paramétrage!$D$12,Enseignements!Y$8:Y$100)</f>
        <v>42</v>
      </c>
      <c r="H25" s="163">
        <f>IF(G25=0,0,(SUMIF(Enseignements!$G$8:$G$100,Paramétrage!$D$12,Enseignements!U$8:U$100)*$H$16+SUMIF(Enseignements!$G$8:$G$100,Paramétrage!$D$12,Enseignements!V$8:V$100)*$H$17+SUMIF(Enseignements!$G$8:$G$100,Paramétrage!$D$12,Enseignements!W$8:W$100)*$H$18+SUMIF(Enseignements!$G$8:$G$100,Paramétrage!$D$12,Enseignements!X$8:X$100)*$H$19)/G25)</f>
        <v>171.71428571428572</v>
      </c>
      <c r="I25" s="164">
        <f>H25*G25</f>
        <v>7212</v>
      </c>
      <c r="J25" s="164">
        <f>I25-K25</f>
        <v>0</v>
      </c>
      <c r="K25" s="165">
        <f>I25</f>
        <v>7212</v>
      </c>
      <c r="L25" s="166"/>
      <c r="M25" s="173"/>
      <c r="N25" s="173"/>
      <c r="O25" s="76"/>
      <c r="P25" s="171">
        <f>SUM(L25:O25)</f>
        <v>0</v>
      </c>
      <c r="Q25" s="168">
        <f>IF($I25=0,0,$G25*$J25/$I25)</f>
        <v>0</v>
      </c>
      <c r="R25" s="168">
        <f>SUMIF(Enseignements!$G$8:$G$100,Paramétrage!D18,Enseignements!W$8:W$100)</f>
        <v>0</v>
      </c>
      <c r="S25" s="410">
        <f t="shared" si="6"/>
        <v>0</v>
      </c>
      <c r="T25" s="168"/>
      <c r="V25" s="168"/>
      <c r="W25" s="85"/>
    </row>
    <row r="26" spans="2:23" s="118" customFormat="1" ht="16.899999999999999" customHeight="1" outlineLevel="1">
      <c r="B26" s="161" t="s">
        <v>184</v>
      </c>
      <c r="C26" s="558" t="s">
        <v>185</v>
      </c>
      <c r="D26" s="559"/>
      <c r="E26" s="559"/>
      <c r="F26" s="560"/>
      <c r="G26" s="162">
        <f>SUMIF(Enseignements!$G$8:$G$100,Paramétrage!$D$22,Enseignements!Y$8:Y$100)+SUMIF(Enseignements!$G$8:$G$100,Paramétrage!$D$25,Enseignements!Y$8:Y$100)</f>
        <v>14</v>
      </c>
      <c r="H26" s="163">
        <f>IF(G26=0,0,(SUMIF(Enseignements!$G$8:$G$100,Paramétrage!$D$22,Enseignements!U$8:U$100)*$H$16+SUMIF(Enseignements!$G$8:$G$100,Paramétrage!$D$22,Enseignements!V$8:V$100)*$H$17+SUMIF(Enseignements!$G$8:$G$100,Paramétrage!$D$22,Enseignements!W$8:W$100)*$H$18+SUMIF(Enseignements!$G$8:$G$100,Paramétrage!$D$22,Enseignements!X$8:X$100)*$H$19)/G26)+IF(G26=0,0,(SUMIF(Enseignements!$G$8:$G$100,Paramétrage!$D$25,Enseignements!U$8:U$100)*$H$16+SUMIF(Enseignements!$G$8:$G$100,Paramétrage!$D$25,Enseignements!V$8:V$100)*$H$17+SUMIF(Enseignements!$G$8:$G$100,Paramétrage!$D$25,Enseignements!W$8:W$100)*$H$18+SUMIF(Enseignements!$G$8:$G$100,Paramétrage!$D$25,Enseignements!X$8:X$100)*$H$19)/G26)</f>
        <v>56</v>
      </c>
      <c r="I26" s="164">
        <f>H26*G26</f>
        <v>784</v>
      </c>
      <c r="J26" s="164">
        <f>I26-K26</f>
        <v>555.33333333333337</v>
      </c>
      <c r="K26" s="165">
        <f t="shared" ref="K26" si="7">IF($E$7=0,0,I26/$E$7*$E$8)</f>
        <v>228.66666666666666</v>
      </c>
      <c r="L26" s="76"/>
      <c r="M26" s="76"/>
      <c r="N26" s="76"/>
      <c r="O26" s="76"/>
      <c r="P26" s="171">
        <f>SUM(L26:O26)</f>
        <v>0</v>
      </c>
      <c r="Q26" s="168">
        <f>IF($I26=0,0,$G26*$J26/$I26)</f>
        <v>9.9166666666666679</v>
      </c>
      <c r="R26" s="168">
        <f>SUMIF(Enseignements!$G$8:$G$100,Paramétrage!D19,Enseignements!W$8:W$100)</f>
        <v>0</v>
      </c>
      <c r="S26" s="410">
        <f>R26*H26</f>
        <v>0</v>
      </c>
      <c r="T26" s="168"/>
      <c r="V26" s="168"/>
      <c r="W26" s="85"/>
    </row>
    <row r="27" spans="2:23" s="118" customFormat="1" ht="21.6" customHeight="1" outlineLevel="1" thickBot="1">
      <c r="B27" s="564" t="s">
        <v>186</v>
      </c>
      <c r="C27" s="565"/>
      <c r="D27" s="565"/>
      <c r="E27" s="565"/>
      <c r="F27" s="566"/>
      <c r="G27" s="174">
        <f>SUM(G22:G26)</f>
        <v>77</v>
      </c>
      <c r="H27" s="175">
        <f>IF(G27=0,0,I27/G27)</f>
        <v>163.2987012987013</v>
      </c>
      <c r="I27" s="175">
        <f>SUM(I22:I26)</f>
        <v>12574</v>
      </c>
      <c r="J27" s="175">
        <f t="shared" ref="J27:K27" si="8">SUM(J22:J26)</f>
        <v>3798.0833333333335</v>
      </c>
      <c r="K27" s="178">
        <f t="shared" si="8"/>
        <v>8775.9166666666661</v>
      </c>
      <c r="L27" s="181">
        <f>SUM(L22:L26)</f>
        <v>0</v>
      </c>
      <c r="M27" s="182">
        <f>SUM(M22:M26)</f>
        <v>0</v>
      </c>
      <c r="N27" s="183">
        <f t="shared" ref="N27:O27" si="9">SUM(N22:N26)</f>
        <v>0</v>
      </c>
      <c r="O27" s="176">
        <f t="shared" si="9"/>
        <v>0</v>
      </c>
      <c r="P27" s="178">
        <f t="shared" ref="P27" si="10">SUM(P22:P25)</f>
        <v>0</v>
      </c>
      <c r="Q27" s="149">
        <f>IF($K$72=0,0,K27/$K$72)</f>
        <v>0.18292687163453186</v>
      </c>
      <c r="R27" s="150" t="s">
        <v>164</v>
      </c>
      <c r="S27" s="70"/>
      <c r="T27" s="117"/>
    </row>
    <row r="28" spans="2:23" s="118" customFormat="1" ht="16.899999999999999" customHeight="1" outlineLevel="1">
      <c r="B28" s="151" t="s">
        <v>187</v>
      </c>
      <c r="C28" s="152" t="s">
        <v>188</v>
      </c>
      <c r="D28" s="153"/>
      <c r="E28" s="153"/>
      <c r="F28" s="154"/>
      <c r="G28" s="155"/>
      <c r="H28" s="156"/>
      <c r="I28" s="155"/>
      <c r="J28" s="155"/>
      <c r="K28" s="157"/>
      <c r="L28" s="190"/>
      <c r="M28" s="191"/>
      <c r="N28" s="191"/>
      <c r="O28" s="191"/>
      <c r="P28" s="192"/>
      <c r="Q28" s="159"/>
      <c r="R28" s="193">
        <f t="shared" ref="R28:U28" si="11">IF($I28=0,0,IF($P28=0,0,$G28*$J28/$I28*L28/$P28))</f>
        <v>0</v>
      </c>
      <c r="S28" s="193">
        <f t="shared" si="11"/>
        <v>0</v>
      </c>
      <c r="T28" s="193">
        <f t="shared" si="11"/>
        <v>0</v>
      </c>
      <c r="U28" s="194">
        <f t="shared" si="11"/>
        <v>0</v>
      </c>
      <c r="V28" s="195"/>
    </row>
    <row r="29" spans="2:23" s="118" customFormat="1" ht="16.899999999999999" customHeight="1" outlineLevel="1">
      <c r="B29" s="161" t="s">
        <v>189</v>
      </c>
      <c r="C29" s="558" t="s">
        <v>190</v>
      </c>
      <c r="D29" s="559"/>
      <c r="E29" s="559"/>
      <c r="F29" s="560"/>
      <c r="G29" s="76">
        <v>30</v>
      </c>
      <c r="H29" s="163">
        <f>+H16</f>
        <v>218</v>
      </c>
      <c r="I29" s="196">
        <f>H29*G29</f>
        <v>6540</v>
      </c>
      <c r="J29" s="164">
        <f t="shared" ref="J29:J31" si="12">I29-K29</f>
        <v>4632.5</v>
      </c>
      <c r="K29" s="165">
        <f t="shared" ref="K29:K31" si="13">IF($E$7=0,0,I29/$E$7*$E$8)</f>
        <v>1907.5</v>
      </c>
      <c r="L29" s="197"/>
      <c r="M29" s="76"/>
      <c r="N29" s="76"/>
      <c r="O29" s="76"/>
      <c r="P29" s="171">
        <f>SUM(L29:O29)</f>
        <v>0</v>
      </c>
      <c r="Q29" s="168">
        <f>IF($I29=0,0,$G29*$J29/$I29)</f>
        <v>21.25</v>
      </c>
      <c r="R29" s="168"/>
      <c r="S29" s="168"/>
      <c r="T29" s="168"/>
      <c r="U29" s="168"/>
      <c r="V29" s="169"/>
      <c r="W29" s="198"/>
    </row>
    <row r="30" spans="2:23" s="118" customFormat="1" ht="16.899999999999999" customHeight="1" outlineLevel="1">
      <c r="B30" s="161" t="s">
        <v>191</v>
      </c>
      <c r="C30" s="558" t="s">
        <v>192</v>
      </c>
      <c r="D30" s="559"/>
      <c r="E30" s="559"/>
      <c r="F30" s="560"/>
      <c r="G30" s="76"/>
      <c r="H30" s="163">
        <f>$H$20</f>
        <v>142.37161848817439</v>
      </c>
      <c r="I30" s="196">
        <f>H30*G30</f>
        <v>0</v>
      </c>
      <c r="J30" s="164">
        <f t="shared" si="12"/>
        <v>0</v>
      </c>
      <c r="K30" s="165">
        <f>I30</f>
        <v>0</v>
      </c>
      <c r="L30" s="197"/>
      <c r="M30" s="166"/>
      <c r="N30" s="76"/>
      <c r="O30" s="76"/>
      <c r="P30" s="171">
        <f>SUM(L30:O30)</f>
        <v>0</v>
      </c>
      <c r="Q30" s="168">
        <f t="shared" ref="Q30:Q31" si="14">IF($I30=0,0,$G30*$J30/$I30)</f>
        <v>0</v>
      </c>
      <c r="R30" s="168"/>
      <c r="S30" s="168"/>
      <c r="T30" s="168"/>
      <c r="U30" s="168"/>
      <c r="V30" s="169"/>
      <c r="W30" s="198"/>
    </row>
    <row r="31" spans="2:23" s="118" customFormat="1" ht="16.899999999999999" customHeight="1" outlineLevel="1">
      <c r="B31" s="161" t="s">
        <v>193</v>
      </c>
      <c r="C31" s="416" t="s">
        <v>26</v>
      </c>
      <c r="D31" s="417"/>
      <c r="E31" s="417"/>
      <c r="F31" s="418"/>
      <c r="G31" s="199"/>
      <c r="H31" s="163">
        <f>$H$20</f>
        <v>142.37161848817439</v>
      </c>
      <c r="I31" s="200">
        <f>H31*G31</f>
        <v>0</v>
      </c>
      <c r="J31" s="164">
        <f t="shared" si="12"/>
        <v>0</v>
      </c>
      <c r="K31" s="165">
        <f t="shared" si="13"/>
        <v>0</v>
      </c>
      <c r="L31" s="201"/>
      <c r="M31" s="76"/>
      <c r="N31" s="76"/>
      <c r="O31" s="76"/>
      <c r="P31" s="171">
        <f>SUM(L31:O31)</f>
        <v>0</v>
      </c>
      <c r="Q31" s="168">
        <f t="shared" si="14"/>
        <v>0</v>
      </c>
      <c r="R31" s="168"/>
      <c r="S31" s="168"/>
      <c r="T31" s="168"/>
      <c r="U31" s="168"/>
      <c r="V31" s="169"/>
      <c r="W31" s="198"/>
    </row>
    <row r="32" spans="2:23" s="118" customFormat="1" ht="21" customHeight="1" outlineLevel="1" thickBot="1">
      <c r="B32" s="564" t="s">
        <v>194</v>
      </c>
      <c r="C32" s="565"/>
      <c r="D32" s="565"/>
      <c r="E32" s="565"/>
      <c r="F32" s="566"/>
      <c r="G32" s="174">
        <f>SUM(G29:G31)</f>
        <v>30</v>
      </c>
      <c r="H32" s="175">
        <f>IF(G32=0,0,I32/G32)</f>
        <v>218</v>
      </c>
      <c r="I32" s="175">
        <f>SUM(I29:I31)</f>
        <v>6540</v>
      </c>
      <c r="J32" s="175">
        <f>SUM(J29:J31)</f>
        <v>4632.5</v>
      </c>
      <c r="K32" s="388">
        <f>SUM(K29:K31)</f>
        <v>1907.5</v>
      </c>
      <c r="L32" s="179">
        <f t="shared" ref="L32:M32" si="15">SUM(L29:L31)</f>
        <v>0</v>
      </c>
      <c r="M32" s="176">
        <f t="shared" si="15"/>
        <v>0</v>
      </c>
      <c r="N32" s="176">
        <f>SUM(N29:N31)</f>
        <v>0</v>
      </c>
      <c r="O32" s="176">
        <f>SUM(O29:O31)</f>
        <v>0</v>
      </c>
      <c r="P32" s="178">
        <f t="shared" ref="P32" si="16">SUM(P28:P31)</f>
        <v>0</v>
      </c>
      <c r="Q32" s="149">
        <f>IF($K$72=0,0,K32/$K$72)</f>
        <v>3.9760291818655549E-2</v>
      </c>
      <c r="R32" s="150" t="s">
        <v>164</v>
      </c>
      <c r="S32" s="70"/>
      <c r="T32" s="117"/>
      <c r="U32" s="67"/>
    </row>
    <row r="33" spans="2:22" s="118" customFormat="1" ht="21" hidden="1" customHeight="1" outlineLevel="1">
      <c r="B33" s="205"/>
      <c r="C33" s="206"/>
      <c r="D33" s="207"/>
      <c r="E33" s="208"/>
      <c r="F33" s="208"/>
      <c r="G33" s="208"/>
      <c r="H33" s="209" t="s">
        <v>195</v>
      </c>
      <c r="I33" s="210">
        <f>+G20+G27+G32</f>
        <v>365.76</v>
      </c>
      <c r="J33" s="210">
        <f>SUM(Q16:Q19)+SUM(Q22:Q26)+SUM(Q29:Q31)</f>
        <v>229.33</v>
      </c>
      <c r="K33" s="211">
        <f>I33-J33</f>
        <v>136.42999999999998</v>
      </c>
      <c r="L33" s="212"/>
      <c r="M33" s="212"/>
      <c r="N33" s="212"/>
      <c r="O33" s="212"/>
      <c r="P33" s="212"/>
      <c r="Q33" s="213"/>
      <c r="R33" s="213"/>
      <c r="S33" s="214"/>
      <c r="T33" s="215"/>
      <c r="U33" s="117"/>
      <c r="V33" s="216"/>
    </row>
    <row r="34" spans="2:22" s="118" customFormat="1" ht="21" customHeight="1" outlineLevel="1" thickBot="1">
      <c r="B34" s="217"/>
      <c r="C34" s="218"/>
      <c r="D34" s="219"/>
      <c r="E34" s="220"/>
      <c r="F34" s="220"/>
      <c r="G34" s="220"/>
      <c r="H34" s="221" t="s">
        <v>196</v>
      </c>
      <c r="I34" s="222">
        <f>IF($E$7=0,0,(I32+I20+I27)/$E$7)</f>
        <v>2331.42</v>
      </c>
      <c r="J34" s="223">
        <f>IF($E$7-$E$8=0,0,(J32+J20+J27)/($E$7-$E$8))</f>
        <v>2030.9200000000003</v>
      </c>
      <c r="K34" s="224">
        <f>IF($E$8=0,0,(K32+K20+K27)/$E$8)</f>
        <v>3061.2057142857147</v>
      </c>
      <c r="L34" s="212"/>
      <c r="M34" s="212"/>
      <c r="N34" s="212"/>
      <c r="O34" s="212"/>
      <c r="P34" s="212"/>
      <c r="Q34" s="213"/>
      <c r="R34" s="213"/>
      <c r="S34" s="214"/>
      <c r="T34" s="215"/>
      <c r="U34" s="117"/>
      <c r="V34" s="216"/>
    </row>
    <row r="35" spans="2:22" s="70" customFormat="1" ht="22.15" customHeight="1" thickBot="1">
      <c r="B35" s="225" t="s">
        <v>197</v>
      </c>
      <c r="C35" s="226"/>
      <c r="D35" s="227"/>
      <c r="E35" s="227"/>
      <c r="F35" s="227"/>
      <c r="G35" s="227"/>
      <c r="H35" s="228"/>
      <c r="I35" s="229">
        <f t="shared" ref="I35:P35" si="17">SUM(I36:I44)</f>
        <v>16600</v>
      </c>
      <c r="J35" s="230">
        <f t="shared" si="17"/>
        <v>10270.833333333332</v>
      </c>
      <c r="K35" s="231">
        <f t="shared" si="17"/>
        <v>6329.166666666667</v>
      </c>
      <c r="L35" s="148">
        <f t="shared" si="17"/>
        <v>0</v>
      </c>
      <c r="M35" s="144">
        <f t="shared" si="17"/>
        <v>0</v>
      </c>
      <c r="N35" s="145">
        <f t="shared" si="17"/>
        <v>0</v>
      </c>
      <c r="O35" s="144">
        <f t="shared" si="17"/>
        <v>0</v>
      </c>
      <c r="P35" s="232">
        <f t="shared" si="17"/>
        <v>0</v>
      </c>
      <c r="Q35" s="149">
        <f>IF($K$72=0,0,K35/$K$72)</f>
        <v>0.13192635052978982</v>
      </c>
      <c r="R35" s="150" t="s">
        <v>164</v>
      </c>
      <c r="U35" s="118"/>
      <c r="V35" s="118"/>
    </row>
    <row r="36" spans="2:22" s="118" customFormat="1" ht="16.899999999999999" customHeight="1" outlineLevel="1">
      <c r="B36" s="233" t="s">
        <v>198</v>
      </c>
      <c r="C36" s="234" t="s">
        <v>199</v>
      </c>
      <c r="D36" s="235"/>
      <c r="E36" s="235"/>
      <c r="F36" s="235"/>
      <c r="G36" s="235"/>
      <c r="H36" s="235"/>
      <c r="I36" s="236"/>
      <c r="J36" s="237">
        <f>I36-K36</f>
        <v>0</v>
      </c>
      <c r="K36" s="238">
        <f>IF($E$7=0,0,I36/$E$7*$E$8)</f>
        <v>0</v>
      </c>
      <c r="L36" s="239"/>
      <c r="M36" s="240"/>
      <c r="N36" s="241"/>
      <c r="O36" s="240"/>
      <c r="P36" s="242">
        <f>SUM(L36:O36)</f>
        <v>0</v>
      </c>
      <c r="Q36" s="243"/>
      <c r="R36" s="244"/>
      <c r="S36" s="70"/>
    </row>
    <row r="37" spans="2:22" s="118" customFormat="1" ht="16.899999999999999" customHeight="1" outlineLevel="1">
      <c r="B37" s="94" t="s">
        <v>200</v>
      </c>
      <c r="C37" s="245" t="s">
        <v>201</v>
      </c>
      <c r="D37" s="246"/>
      <c r="E37" s="246"/>
      <c r="F37" s="246"/>
      <c r="G37" s="246"/>
      <c r="H37" s="246"/>
      <c r="I37" s="247"/>
      <c r="J37" s="163">
        <f>I37-K37</f>
        <v>0</v>
      </c>
      <c r="K37" s="248">
        <f t="shared" ref="K37:K44" si="18">IF($E$7=0,0,I37/$E$7*$E$8)</f>
        <v>0</v>
      </c>
      <c r="L37" s="197"/>
      <c r="M37" s="166"/>
      <c r="N37" s="249"/>
      <c r="O37" s="166"/>
      <c r="P37" s="171">
        <f>SUM(L37:O37)</f>
        <v>0</v>
      </c>
      <c r="Q37" s="243"/>
      <c r="R37" s="244"/>
      <c r="S37" s="70"/>
    </row>
    <row r="38" spans="2:22" s="118" customFormat="1" ht="16.899999999999999" customHeight="1" outlineLevel="1">
      <c r="B38" s="94" t="s">
        <v>202</v>
      </c>
      <c r="C38" s="245" t="s">
        <v>203</v>
      </c>
      <c r="D38" s="246"/>
      <c r="E38" s="246"/>
      <c r="F38" s="246"/>
      <c r="G38" s="246"/>
      <c r="H38" s="246"/>
      <c r="I38" s="247">
        <v>10000</v>
      </c>
      <c r="J38" s="163">
        <f>I38-K38</f>
        <v>7083.333333333333</v>
      </c>
      <c r="K38" s="248">
        <f t="shared" si="18"/>
        <v>2916.666666666667</v>
      </c>
      <c r="L38" s="197"/>
      <c r="M38" s="166"/>
      <c r="N38" s="249"/>
      <c r="O38" s="166"/>
      <c r="P38" s="171">
        <f t="shared" ref="P38:P44" si="19">SUM(L38:O38)</f>
        <v>0</v>
      </c>
      <c r="Q38" s="243"/>
      <c r="R38" s="244"/>
      <c r="S38" s="70"/>
    </row>
    <row r="39" spans="2:22" s="118" customFormat="1" ht="16.899999999999999" customHeight="1" outlineLevel="1">
      <c r="B39" s="94" t="s">
        <v>204</v>
      </c>
      <c r="C39" s="245" t="s">
        <v>205</v>
      </c>
      <c r="D39" s="246"/>
      <c r="E39" s="246"/>
      <c r="F39" s="246"/>
      <c r="G39" s="246"/>
      <c r="H39" s="246"/>
      <c r="I39" s="247">
        <v>1000</v>
      </c>
      <c r="J39" s="163">
        <f>I39-K39</f>
        <v>708.33333333333337</v>
      </c>
      <c r="K39" s="248">
        <f t="shared" si="18"/>
        <v>291.66666666666663</v>
      </c>
      <c r="L39" s="197"/>
      <c r="M39" s="166"/>
      <c r="N39" s="249"/>
      <c r="O39" s="166"/>
      <c r="P39" s="171">
        <f t="shared" si="19"/>
        <v>0</v>
      </c>
      <c r="Q39" s="243"/>
      <c r="R39" s="244"/>
      <c r="S39" s="70"/>
    </row>
    <row r="40" spans="2:22" s="118" customFormat="1" ht="16.899999999999999" customHeight="1" outlineLevel="1">
      <c r="B40" s="94" t="s">
        <v>206</v>
      </c>
      <c r="C40" s="245" t="s">
        <v>207</v>
      </c>
      <c r="D40" s="246"/>
      <c r="E40" s="246"/>
      <c r="F40" s="246"/>
      <c r="G40" s="246"/>
      <c r="H40" s="246"/>
      <c r="I40" s="247">
        <v>3000</v>
      </c>
      <c r="J40" s="163">
        <f>I40-K40</f>
        <v>2125</v>
      </c>
      <c r="K40" s="248">
        <f t="shared" si="18"/>
        <v>875</v>
      </c>
      <c r="L40" s="197"/>
      <c r="M40" s="166"/>
      <c r="N40" s="249"/>
      <c r="O40" s="166"/>
      <c r="P40" s="171">
        <f>SUM(L40:O40)</f>
        <v>0</v>
      </c>
      <c r="Q40" s="243"/>
      <c r="R40" s="244"/>
      <c r="S40" s="70"/>
    </row>
    <row r="41" spans="2:22" s="118" customFormat="1" ht="16.899999999999999" customHeight="1" outlineLevel="1">
      <c r="B41" s="94" t="s">
        <v>208</v>
      </c>
      <c r="C41" s="245" t="s">
        <v>209</v>
      </c>
      <c r="D41" s="246"/>
      <c r="E41" s="246"/>
      <c r="F41" s="246"/>
      <c r="G41" s="246"/>
      <c r="H41" s="246"/>
      <c r="I41" s="247"/>
      <c r="J41" s="163">
        <f t="shared" ref="J41:J44" si="20">I41-K41</f>
        <v>0</v>
      </c>
      <c r="K41" s="248">
        <v>0</v>
      </c>
      <c r="L41" s="197"/>
      <c r="M41" s="166"/>
      <c r="N41" s="249"/>
      <c r="O41" s="166"/>
      <c r="P41" s="171">
        <f>SUM(L41:O41)</f>
        <v>0</v>
      </c>
      <c r="Q41" s="243"/>
      <c r="R41" s="244"/>
      <c r="S41" s="70"/>
    </row>
    <row r="42" spans="2:22" s="118" customFormat="1" ht="16.899999999999999" customHeight="1" outlineLevel="1">
      <c r="B42" s="94" t="s">
        <v>210</v>
      </c>
      <c r="C42" s="245" t="s">
        <v>211</v>
      </c>
      <c r="D42" s="246"/>
      <c r="E42" s="246"/>
      <c r="F42" s="246"/>
      <c r="G42" s="246"/>
      <c r="H42" s="246"/>
      <c r="I42" s="247">
        <v>2100</v>
      </c>
      <c r="J42" s="163">
        <f t="shared" si="20"/>
        <v>0</v>
      </c>
      <c r="K42" s="248">
        <f>I42</f>
        <v>2100</v>
      </c>
      <c r="L42" s="197"/>
      <c r="M42" s="166"/>
      <c r="N42" s="249"/>
      <c r="O42" s="166"/>
      <c r="P42" s="171">
        <f t="shared" si="19"/>
        <v>0</v>
      </c>
      <c r="Q42" s="243"/>
      <c r="R42" s="244"/>
      <c r="S42" s="70"/>
    </row>
    <row r="43" spans="2:22" s="118" customFormat="1" ht="16.899999999999999" customHeight="1" outlineLevel="1">
      <c r="B43" s="94" t="s">
        <v>212</v>
      </c>
      <c r="C43" s="245" t="s">
        <v>213</v>
      </c>
      <c r="D43" s="246"/>
      <c r="E43" s="246"/>
      <c r="F43" s="246"/>
      <c r="G43" s="246"/>
      <c r="H43" s="246"/>
      <c r="I43" s="247"/>
      <c r="J43" s="163">
        <f t="shared" si="20"/>
        <v>0</v>
      </c>
      <c r="K43" s="248">
        <f t="shared" si="18"/>
        <v>0</v>
      </c>
      <c r="L43" s="197"/>
      <c r="M43" s="166"/>
      <c r="N43" s="249"/>
      <c r="O43" s="166"/>
      <c r="P43" s="171">
        <f t="shared" si="19"/>
        <v>0</v>
      </c>
      <c r="Q43" s="243"/>
      <c r="R43" s="244"/>
      <c r="S43" s="70"/>
    </row>
    <row r="44" spans="2:22" s="118" customFormat="1" ht="16.899999999999999" customHeight="1" outlineLevel="1" thickBot="1">
      <c r="B44" s="250" t="s">
        <v>214</v>
      </c>
      <c r="C44" s="251" t="s">
        <v>215</v>
      </c>
      <c r="D44" s="252"/>
      <c r="E44" s="252"/>
      <c r="F44" s="252"/>
      <c r="G44" s="252"/>
      <c r="H44" s="253"/>
      <c r="I44" s="254">
        <v>500</v>
      </c>
      <c r="J44" s="255">
        <f t="shared" si="20"/>
        <v>354.16666666666669</v>
      </c>
      <c r="K44" s="256">
        <f t="shared" si="18"/>
        <v>145.83333333333331</v>
      </c>
      <c r="L44" s="257"/>
      <c r="M44" s="258"/>
      <c r="N44" s="259"/>
      <c r="O44" s="258"/>
      <c r="P44" s="260">
        <f t="shared" si="19"/>
        <v>0</v>
      </c>
      <c r="Q44" s="243"/>
      <c r="R44" s="244"/>
      <c r="S44" s="70"/>
    </row>
    <row r="45" spans="2:22" s="118" customFormat="1" ht="24.6" customHeight="1" outlineLevel="1" thickBot="1">
      <c r="B45" s="261"/>
      <c r="C45" s="262"/>
      <c r="E45" s="263"/>
      <c r="F45" s="263"/>
      <c r="G45" s="263"/>
      <c r="H45" s="71" t="s">
        <v>216</v>
      </c>
      <c r="I45" s="264">
        <f>IF(E7=0,0,I35/$E$7)</f>
        <v>691.66666666666663</v>
      </c>
      <c r="J45" s="264">
        <f>IF(E7-E8=0,0,J35/($E$7-$E$8))</f>
        <v>604.16666666666663</v>
      </c>
      <c r="K45" s="224">
        <f>IF($E$8=0,0,K35/$E$8)</f>
        <v>904.16666666666674</v>
      </c>
      <c r="L45" s="212"/>
      <c r="M45" s="212"/>
      <c r="N45" s="212"/>
      <c r="O45" s="212"/>
      <c r="P45" s="212"/>
      <c r="Q45" s="243"/>
      <c r="R45" s="244"/>
      <c r="S45" s="70"/>
      <c r="U45" s="70"/>
      <c r="V45" s="70"/>
    </row>
    <row r="46" spans="2:22" s="70" customFormat="1" ht="21.6" customHeight="1" thickBot="1">
      <c r="B46" s="140" t="s">
        <v>217</v>
      </c>
      <c r="C46" s="141"/>
      <c r="D46" s="142"/>
      <c r="E46" s="142"/>
      <c r="F46" s="142"/>
      <c r="G46" s="142"/>
      <c r="H46" s="265"/>
      <c r="I46" s="266">
        <f t="shared" ref="I46:P46" si="21">I35+I32+I20+I27</f>
        <v>72554.080000000002</v>
      </c>
      <c r="J46" s="266">
        <f t="shared" si="21"/>
        <v>44796.473333333335</v>
      </c>
      <c r="K46" s="267">
        <f t="shared" si="21"/>
        <v>27757.606666666667</v>
      </c>
      <c r="L46" s="266">
        <f t="shared" si="21"/>
        <v>0</v>
      </c>
      <c r="M46" s="266">
        <f t="shared" si="21"/>
        <v>0</v>
      </c>
      <c r="N46" s="266">
        <f t="shared" si="21"/>
        <v>0</v>
      </c>
      <c r="O46" s="266">
        <f t="shared" si="21"/>
        <v>0</v>
      </c>
      <c r="P46" s="268">
        <f t="shared" si="21"/>
        <v>0</v>
      </c>
      <c r="Q46" s="269">
        <f>IF($K$72=0,0,K46/$K$72)</f>
        <v>0.57858481848184817</v>
      </c>
      <c r="R46" s="150" t="s">
        <v>164</v>
      </c>
      <c r="S46" s="270"/>
      <c r="U46" s="67"/>
      <c r="V46" s="118"/>
    </row>
    <row r="47" spans="2:22" s="118" customFormat="1" ht="21" customHeight="1" thickBot="1">
      <c r="B47" s="271"/>
      <c r="C47" s="272"/>
      <c r="D47" s="272"/>
      <c r="E47" s="273"/>
      <c r="F47" s="273"/>
      <c r="G47" s="273"/>
      <c r="H47" s="274" t="s">
        <v>218</v>
      </c>
      <c r="I47" s="222">
        <f>IF(E7=0,0,I46/E7)</f>
        <v>3023.0866666666666</v>
      </c>
      <c r="J47" s="264">
        <f>IF((E7-E8)=0,0,J46/(E7-E8))</f>
        <v>2635.0866666666666</v>
      </c>
      <c r="K47" s="275">
        <f>IF(E8=0,0,K46/E8)</f>
        <v>3965.3723809523808</v>
      </c>
      <c r="L47" s="212"/>
      <c r="M47" s="212"/>
      <c r="N47" s="212"/>
      <c r="O47" s="212"/>
      <c r="P47" s="212"/>
      <c r="Q47" s="276"/>
      <c r="R47" s="244"/>
      <c r="S47" s="70"/>
      <c r="T47" s="117"/>
      <c r="U47" s="67"/>
    </row>
    <row r="48" spans="2:22" s="118" customFormat="1" ht="12" customHeight="1" thickBot="1">
      <c r="B48" s="261"/>
      <c r="E48" s="263"/>
      <c r="F48" s="263"/>
      <c r="G48" s="263"/>
      <c r="H48" s="71"/>
      <c r="I48" s="222"/>
      <c r="J48" s="222"/>
      <c r="K48" s="277"/>
      <c r="L48" s="212"/>
      <c r="M48" s="212"/>
      <c r="N48" s="212"/>
      <c r="O48" s="212"/>
      <c r="P48" s="212"/>
      <c r="Q48" s="276"/>
      <c r="R48" s="244"/>
      <c r="S48" s="70"/>
      <c r="T48" s="117"/>
      <c r="U48" s="66"/>
      <c r="V48" s="66"/>
    </row>
    <row r="49" spans="1:22" s="66" customFormat="1" ht="55.9" thickBot="1">
      <c r="B49" s="278" t="s">
        <v>219</v>
      </c>
      <c r="C49" s="279" t="s">
        <v>220</v>
      </c>
      <c r="D49" s="280"/>
      <c r="E49" s="280"/>
      <c r="F49" s="280"/>
      <c r="G49" s="280"/>
      <c r="H49" s="132" t="s">
        <v>221</v>
      </c>
      <c r="I49" s="131" t="s">
        <v>156</v>
      </c>
      <c r="J49" s="132" t="s">
        <v>157</v>
      </c>
      <c r="K49" s="133" t="s">
        <v>222</v>
      </c>
      <c r="L49" s="281" t="str">
        <f>L13</f>
        <v>Lyon 2</v>
      </c>
      <c r="M49" s="132" t="str">
        <f>M13</f>
        <v>Partenaire 1</v>
      </c>
      <c r="N49" s="132" t="str">
        <f>N13</f>
        <v>Partenaire 2</v>
      </c>
      <c r="O49" s="132" t="str">
        <f>O13</f>
        <v>Partenaire 3</v>
      </c>
      <c r="P49" s="137" t="s">
        <v>0</v>
      </c>
      <c r="Q49" s="282"/>
      <c r="R49" s="139"/>
      <c r="U49" s="70"/>
      <c r="V49" s="70"/>
    </row>
    <row r="50" spans="1:22" s="70" customFormat="1" ht="19.899999999999999" customHeight="1" thickBot="1">
      <c r="B50" s="140" t="s">
        <v>223</v>
      </c>
      <c r="C50" s="141"/>
      <c r="D50" s="142"/>
      <c r="E50" s="142"/>
      <c r="F50" s="142"/>
      <c r="G50" s="142"/>
      <c r="H50" s="370"/>
      <c r="I50" s="145">
        <f>SUM(I51:I54)</f>
        <v>23400</v>
      </c>
      <c r="J50" s="146">
        <f>SUM(J51:J54)</f>
        <v>15028</v>
      </c>
      <c r="K50" s="147">
        <f>SUM(K51:K54)</f>
        <v>8372</v>
      </c>
      <c r="L50" s="145">
        <f t="shared" ref="L50:P50" si="22">SUM(L51:L54)</f>
        <v>0</v>
      </c>
      <c r="M50" s="144">
        <f t="shared" si="22"/>
        <v>0</v>
      </c>
      <c r="N50" s="144">
        <f t="shared" si="22"/>
        <v>0</v>
      </c>
      <c r="O50" s="145">
        <f t="shared" si="22"/>
        <v>0</v>
      </c>
      <c r="P50" s="147">
        <f t="shared" si="22"/>
        <v>0</v>
      </c>
      <c r="Q50" s="180"/>
      <c r="R50" s="283"/>
    </row>
    <row r="51" spans="1:22" s="70" customFormat="1" ht="16.899999999999999" customHeight="1" outlineLevel="2">
      <c r="B51" s="284" t="s">
        <v>224</v>
      </c>
      <c r="C51" s="285" t="s">
        <v>225</v>
      </c>
      <c r="D51" s="286"/>
      <c r="E51" s="286"/>
      <c r="F51" s="286"/>
      <c r="G51" s="287"/>
      <c r="H51" s="163">
        <f>IF(H5="Formation courte",312/2,312)</f>
        <v>312</v>
      </c>
      <c r="I51" s="163">
        <f>H51*E8</f>
        <v>2184</v>
      </c>
      <c r="J51" s="164">
        <f t="shared" ref="J51:J54" si="23">I51-K51</f>
        <v>0</v>
      </c>
      <c r="K51" s="165">
        <f>I51</f>
        <v>2184</v>
      </c>
      <c r="L51" s="288"/>
      <c r="M51" s="289"/>
      <c r="N51" s="289"/>
      <c r="O51" s="290"/>
      <c r="P51" s="167">
        <f>SUM(L51:O51)</f>
        <v>0</v>
      </c>
      <c r="Q51" s="180"/>
      <c r="R51" s="244"/>
      <c r="U51" s="118"/>
      <c r="V51" s="118"/>
    </row>
    <row r="52" spans="1:22" s="118" customFormat="1" ht="18.75" customHeight="1" outlineLevel="2">
      <c r="B52" s="284" t="s">
        <v>226</v>
      </c>
      <c r="C52" s="291" t="s">
        <v>227</v>
      </c>
      <c r="D52" s="292"/>
      <c r="E52" s="292"/>
      <c r="F52" s="292"/>
      <c r="G52" s="293"/>
      <c r="H52" s="163">
        <f>IF(OR(H5="Diplôme Universitaire",H5="Formation courte"),708/500*Enseignements!H7,708)</f>
        <v>708</v>
      </c>
      <c r="I52" s="163">
        <f>H52*$E$7</f>
        <v>16992</v>
      </c>
      <c r="J52" s="164">
        <f>I52-K52</f>
        <v>12036</v>
      </c>
      <c r="K52" s="165">
        <f>IF($E$7=0,0,I52/$E$7*$E$8)</f>
        <v>4956</v>
      </c>
      <c r="L52" s="288"/>
      <c r="M52" s="289"/>
      <c r="N52" s="289"/>
      <c r="O52" s="76"/>
      <c r="P52" s="171">
        <f>SUM(L52:O52)</f>
        <v>0</v>
      </c>
      <c r="Q52" s="122"/>
      <c r="R52" s="244"/>
      <c r="S52" s="70"/>
    </row>
    <row r="53" spans="1:22" s="118" customFormat="1" ht="18.75" customHeight="1" outlineLevel="2">
      <c r="B53" s="284" t="s">
        <v>228</v>
      </c>
      <c r="C53" s="112" t="s">
        <v>229</v>
      </c>
      <c r="D53" s="294"/>
      <c r="E53" s="294"/>
      <c r="F53" s="294"/>
      <c r="G53" s="294"/>
      <c r="H53" s="163">
        <f>IF(OR(H5="Diplôme Universitaire",H5="Formation courte"),90/500*Enseignements!H7,90)</f>
        <v>90</v>
      </c>
      <c r="I53" s="163">
        <f t="shared" ref="I53:I58" si="24">H53*$E$7</f>
        <v>2160</v>
      </c>
      <c r="J53" s="164">
        <f t="shared" si="23"/>
        <v>1530</v>
      </c>
      <c r="K53" s="165">
        <f t="shared" ref="K53:K58" si="25">IF($E$7=0,0,I53/$E$7*$E$8)</f>
        <v>630</v>
      </c>
      <c r="L53" s="288"/>
      <c r="M53" s="289"/>
      <c r="N53" s="289"/>
      <c r="O53" s="76"/>
      <c r="P53" s="171">
        <f>SUM(L53:O53)</f>
        <v>0</v>
      </c>
      <c r="Q53" s="122"/>
      <c r="R53" s="244"/>
      <c r="S53" s="70"/>
    </row>
    <row r="54" spans="1:22" s="118" customFormat="1" ht="18.75" customHeight="1" outlineLevel="2" thickBot="1">
      <c r="B54" s="284" t="s">
        <v>230</v>
      </c>
      <c r="C54" s="112" t="s">
        <v>231</v>
      </c>
      <c r="D54" s="294"/>
      <c r="E54" s="294"/>
      <c r="F54" s="294"/>
      <c r="G54" s="294"/>
      <c r="H54" s="163">
        <f>IF(OR(H5="Diplôme Universitaire",H5="Formation courte"),86/500*Enseignements!H7,86)</f>
        <v>86</v>
      </c>
      <c r="I54" s="163">
        <f t="shared" si="24"/>
        <v>2064</v>
      </c>
      <c r="J54" s="164">
        <f t="shared" si="23"/>
        <v>1462</v>
      </c>
      <c r="K54" s="165">
        <f t="shared" si="25"/>
        <v>602</v>
      </c>
      <c r="L54" s="288"/>
      <c r="M54" s="289"/>
      <c r="N54" s="289"/>
      <c r="O54" s="76"/>
      <c r="P54" s="171">
        <f>SUM(L54:O54)</f>
        <v>0</v>
      </c>
      <c r="Q54" s="122"/>
      <c r="R54" s="244"/>
      <c r="S54" s="70"/>
      <c r="U54" s="70"/>
      <c r="V54" s="70"/>
    </row>
    <row r="55" spans="1:22" s="70" customFormat="1" ht="19.149999999999999" customHeight="1" thickBot="1">
      <c r="B55" s="140" t="s">
        <v>232</v>
      </c>
      <c r="C55" s="141"/>
      <c r="D55" s="142"/>
      <c r="E55" s="142"/>
      <c r="F55" s="142"/>
      <c r="G55" s="142"/>
      <c r="H55" s="265"/>
      <c r="I55" s="145">
        <f>SUM(I56:I58)</f>
        <v>23136</v>
      </c>
      <c r="J55" s="146">
        <f>SUM(J56:J58)</f>
        <v>16388</v>
      </c>
      <c r="K55" s="147">
        <f>SUM(K56:K58)</f>
        <v>6748</v>
      </c>
      <c r="L55" s="145">
        <f t="shared" ref="L55:P55" si="26">SUM(L56:L58)</f>
        <v>0</v>
      </c>
      <c r="M55" s="144">
        <f t="shared" si="26"/>
        <v>0</v>
      </c>
      <c r="N55" s="144">
        <f t="shared" si="26"/>
        <v>0</v>
      </c>
      <c r="O55" s="145">
        <f t="shared" si="26"/>
        <v>0</v>
      </c>
      <c r="P55" s="147">
        <f t="shared" si="26"/>
        <v>0</v>
      </c>
      <c r="Q55" s="295"/>
      <c r="R55" s="244"/>
    </row>
    <row r="56" spans="1:22" s="70" customFormat="1" ht="16.899999999999999" customHeight="1" outlineLevel="1">
      <c r="B56" s="94" t="s">
        <v>233</v>
      </c>
      <c r="C56" s="245" t="s">
        <v>234</v>
      </c>
      <c r="D56" s="246"/>
      <c r="E56" s="246"/>
      <c r="F56" s="246"/>
      <c r="G56" s="246"/>
      <c r="H56" s="163">
        <f>IF(OR(H5="Diplôme Universitaire",H5="Formation courte"),222/500*Enseignements!H7,222)</f>
        <v>222</v>
      </c>
      <c r="I56" s="163">
        <f t="shared" si="24"/>
        <v>5328</v>
      </c>
      <c r="J56" s="164">
        <f t="shared" ref="J56:J58" si="27">I56-K56</f>
        <v>3774</v>
      </c>
      <c r="K56" s="165">
        <f t="shared" si="25"/>
        <v>1554</v>
      </c>
      <c r="L56" s="288"/>
      <c r="M56" s="289"/>
      <c r="N56" s="289"/>
      <c r="O56" s="76"/>
      <c r="P56" s="171">
        <f>SUM(L56:O56)</f>
        <v>0</v>
      </c>
      <c r="Q56" s="122"/>
      <c r="R56" s="296"/>
    </row>
    <row r="57" spans="1:22" s="70" customFormat="1" ht="16.899999999999999" customHeight="1" outlineLevel="1">
      <c r="B57" s="94" t="s">
        <v>235</v>
      </c>
      <c r="C57" s="245" t="s">
        <v>236</v>
      </c>
      <c r="D57" s="246"/>
      <c r="E57" s="246"/>
      <c r="F57" s="246"/>
      <c r="G57" s="246"/>
      <c r="H57" s="163">
        <f>IF(OR(H5="Diplôme Universitaire",H5="Formation courte"),550/500*Enseignements!H7,550)</f>
        <v>550</v>
      </c>
      <c r="I57" s="163">
        <f t="shared" si="24"/>
        <v>13200</v>
      </c>
      <c r="J57" s="164">
        <f t="shared" si="27"/>
        <v>9350</v>
      </c>
      <c r="K57" s="165">
        <f t="shared" si="25"/>
        <v>3850</v>
      </c>
      <c r="L57" s="288"/>
      <c r="M57" s="289"/>
      <c r="N57" s="289"/>
      <c r="O57" s="76"/>
      <c r="P57" s="171">
        <f>SUM(L57:O57)</f>
        <v>0</v>
      </c>
      <c r="Q57" s="122"/>
      <c r="R57" s="244"/>
    </row>
    <row r="58" spans="1:22" s="70" customFormat="1" ht="16.899999999999999" customHeight="1" outlineLevel="1" thickBot="1">
      <c r="B58" s="94" t="s">
        <v>237</v>
      </c>
      <c r="C58" s="245" t="s">
        <v>238</v>
      </c>
      <c r="D58" s="246"/>
      <c r="E58" s="246"/>
      <c r="F58" s="246"/>
      <c r="G58" s="246"/>
      <c r="H58" s="163">
        <f>IF(OR(H5="Diplôme Universitaire",H5="Formation courte"),192/500*Enseignements!H7,192)</f>
        <v>192</v>
      </c>
      <c r="I58" s="163">
        <f t="shared" si="24"/>
        <v>4608</v>
      </c>
      <c r="J58" s="164">
        <f t="shared" si="27"/>
        <v>3264</v>
      </c>
      <c r="K58" s="165">
        <f t="shared" si="25"/>
        <v>1344</v>
      </c>
      <c r="L58" s="288"/>
      <c r="M58" s="289"/>
      <c r="N58" s="289"/>
      <c r="O58" s="76"/>
      <c r="P58" s="171">
        <f>SUM(L58:O58)</f>
        <v>0</v>
      </c>
      <c r="Q58" s="122"/>
      <c r="R58" s="244"/>
    </row>
    <row r="59" spans="1:22" s="70" customFormat="1" ht="21.6" customHeight="1" thickBot="1">
      <c r="B59" s="140" t="s">
        <v>239</v>
      </c>
      <c r="C59" s="141"/>
      <c r="D59" s="142"/>
      <c r="E59" s="142"/>
      <c r="F59" s="142"/>
      <c r="G59" s="142"/>
      <c r="H59" s="265"/>
      <c r="I59" s="145">
        <f>I50+I55</f>
        <v>46536</v>
      </c>
      <c r="J59" s="146">
        <f>J50+J55</f>
        <v>31416</v>
      </c>
      <c r="K59" s="147">
        <f>K50+K55</f>
        <v>15120</v>
      </c>
      <c r="L59" s="145">
        <f t="shared" ref="L59:P59" si="28">L50+L55</f>
        <v>0</v>
      </c>
      <c r="M59" s="144">
        <f t="shared" si="28"/>
        <v>0</v>
      </c>
      <c r="N59" s="144">
        <f t="shared" si="28"/>
        <v>0</v>
      </c>
      <c r="O59" s="145">
        <f t="shared" si="28"/>
        <v>0</v>
      </c>
      <c r="P59" s="147">
        <f t="shared" si="28"/>
        <v>0</v>
      </c>
      <c r="Q59" s="149">
        <f>IF($K$72=0,0,K59/$K$72)</f>
        <v>0.31516414799374676</v>
      </c>
      <c r="R59" s="297" t="s">
        <v>164</v>
      </c>
      <c r="S59" s="298">
        <f>IF((K59+K46)=0,0,K59/(K59+K46))</f>
        <v>0.35263162231847206</v>
      </c>
      <c r="T59" s="150" t="s">
        <v>240</v>
      </c>
      <c r="U59" s="67"/>
    </row>
    <row r="60" spans="1:22" ht="21" customHeight="1" thickBot="1">
      <c r="A60" s="70"/>
      <c r="B60" s="271"/>
      <c r="C60" s="299"/>
      <c r="D60" s="299"/>
      <c r="E60" s="273"/>
      <c r="F60" s="273"/>
      <c r="G60" s="273"/>
      <c r="H60" s="71" t="s">
        <v>241</v>
      </c>
      <c r="I60" s="264">
        <f>IF(E7=0,0,I59/E7)</f>
        <v>1939</v>
      </c>
      <c r="J60" s="264">
        <f>IF((E7-E8)=0,0,J59/(E7-E8))</f>
        <v>1848</v>
      </c>
      <c r="K60" s="275">
        <f>IF(E8=0,0,K59/E8)</f>
        <v>2160</v>
      </c>
      <c r="L60" s="212"/>
      <c r="M60" s="212"/>
      <c r="N60" s="212"/>
      <c r="O60" s="212"/>
      <c r="P60" s="212"/>
      <c r="Q60" s="70"/>
      <c r="R60" s="70"/>
      <c r="S60" s="70"/>
      <c r="T60" s="117"/>
      <c r="U60" s="70"/>
      <c r="V60" s="70"/>
    </row>
    <row r="61" spans="1:22" s="70" customFormat="1" ht="13.15" customHeight="1" thickBot="1">
      <c r="B61" s="300"/>
      <c r="C61" s="301"/>
      <c r="D61" s="301"/>
      <c r="E61" s="301"/>
      <c r="F61" s="301"/>
      <c r="G61" s="301"/>
      <c r="H61" s="301"/>
      <c r="I61" s="302"/>
      <c r="J61" s="302"/>
      <c r="K61" s="303"/>
      <c r="L61" s="304"/>
      <c r="M61" s="304"/>
      <c r="N61" s="304"/>
      <c r="O61" s="304"/>
      <c r="P61" s="304"/>
      <c r="Q61" s="305"/>
      <c r="R61" s="66"/>
    </row>
    <row r="62" spans="1:22" s="70" customFormat="1" ht="24.6" customHeight="1" thickBot="1">
      <c r="B62" s="306" t="s">
        <v>242</v>
      </c>
      <c r="C62" s="306"/>
      <c r="D62" s="307"/>
      <c r="E62" s="308"/>
      <c r="F62" s="307"/>
      <c r="G62" s="309"/>
      <c r="H62" s="310"/>
      <c r="I62" s="311">
        <f>I59+I46</f>
        <v>119090.08</v>
      </c>
      <c r="J62" s="311">
        <f>J59+J46</f>
        <v>76212.473333333328</v>
      </c>
      <c r="K62" s="312">
        <f>K59+K46</f>
        <v>42877.606666666667</v>
      </c>
      <c r="L62" s="311">
        <f t="shared" ref="L62:O62" si="29">L59+L46</f>
        <v>0</v>
      </c>
      <c r="M62" s="311">
        <f t="shared" si="29"/>
        <v>0</v>
      </c>
      <c r="N62" s="311">
        <f t="shared" si="29"/>
        <v>0</v>
      </c>
      <c r="O62" s="311">
        <f t="shared" si="29"/>
        <v>0</v>
      </c>
      <c r="P62" s="312">
        <f>P59+P46</f>
        <v>0</v>
      </c>
      <c r="Q62" s="149">
        <f>IF($K$72=0,0,K62/$K$72)</f>
        <v>0.89374896647559487</v>
      </c>
      <c r="R62" s="150" t="s">
        <v>164</v>
      </c>
      <c r="U62" s="118"/>
      <c r="V62" s="118"/>
    </row>
    <row r="63" spans="1:22" s="118" customFormat="1" ht="18.75" customHeight="1">
      <c r="B63" s="205"/>
      <c r="C63" s="286"/>
      <c r="D63" s="313"/>
      <c r="E63" s="313"/>
      <c r="F63" s="313"/>
      <c r="G63" s="314"/>
      <c r="H63" s="314" t="s">
        <v>243</v>
      </c>
      <c r="I63" s="315">
        <f>IF(E7=0,0,I62/$E$7)</f>
        <v>4962.086666666667</v>
      </c>
      <c r="J63" s="316">
        <f>IF(($E$7-$E$8)=0,0,J62/($E$7-$E$8))</f>
        <v>4483.0866666666661</v>
      </c>
      <c r="K63" s="317">
        <f>IF(E8=0,0,K62/$E$8)</f>
        <v>6125.3723809523808</v>
      </c>
      <c r="L63" s="318"/>
      <c r="M63" s="318"/>
      <c r="N63" s="318"/>
      <c r="O63" s="319"/>
      <c r="P63" s="319"/>
      <c r="Q63" s="122"/>
      <c r="R63" s="244"/>
      <c r="S63" s="70"/>
    </row>
    <row r="64" spans="1:22" s="118" customFormat="1" ht="18.600000000000001" customHeight="1" thickBot="1">
      <c r="B64" s="217"/>
      <c r="C64" s="320"/>
      <c r="D64" s="321"/>
      <c r="E64" s="321"/>
      <c r="F64" s="321"/>
      <c r="G64" s="322"/>
      <c r="H64" s="322" t="s">
        <v>244</v>
      </c>
      <c r="I64" s="255">
        <f t="shared" ref="I64:P64" si="30">IF(I33=0,0,I62/I33)</f>
        <v>325.59623797025375</v>
      </c>
      <c r="J64" s="255">
        <f t="shared" si="30"/>
        <v>332.32666172473432</v>
      </c>
      <c r="K64" s="255">
        <f t="shared" si="30"/>
        <v>314.28283124435001</v>
      </c>
      <c r="L64" s="255">
        <f t="shared" si="30"/>
        <v>0</v>
      </c>
      <c r="M64" s="255">
        <f t="shared" si="30"/>
        <v>0</v>
      </c>
      <c r="N64" s="255">
        <f t="shared" si="30"/>
        <v>0</v>
      </c>
      <c r="O64" s="255">
        <f t="shared" si="30"/>
        <v>0</v>
      </c>
      <c r="P64" s="363">
        <f t="shared" si="30"/>
        <v>0</v>
      </c>
      <c r="Q64" s="364"/>
      <c r="R64" s="244"/>
      <c r="S64" s="70"/>
      <c r="U64" s="70"/>
      <c r="V64" s="70"/>
    </row>
    <row r="65" spans="2:24" ht="14.45" thickBot="1">
      <c r="B65" s="323"/>
      <c r="C65" s="323"/>
      <c r="D65" s="323"/>
      <c r="E65" s="323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324"/>
      <c r="R65" s="66"/>
      <c r="S65" s="70"/>
      <c r="T65" s="70"/>
      <c r="U65" s="66"/>
      <c r="V65" s="70"/>
      <c r="W65" s="70"/>
      <c r="X65" s="70"/>
    </row>
    <row r="66" spans="2:24" ht="24.6" customHeight="1" thickBot="1">
      <c r="B66" s="517" t="s">
        <v>245</v>
      </c>
      <c r="C66" s="518"/>
      <c r="D66" s="518"/>
      <c r="E66" s="518"/>
      <c r="F66" s="518"/>
      <c r="G66" s="518"/>
      <c r="H66" s="518"/>
      <c r="I66" s="518"/>
      <c r="J66" s="518"/>
      <c r="K66" s="519"/>
      <c r="L66" s="123"/>
      <c r="M66" s="124"/>
      <c r="N66" s="124"/>
      <c r="O66" s="124"/>
      <c r="P66" s="125"/>
      <c r="Q66" s="66"/>
      <c r="R66" s="66"/>
      <c r="S66" s="70"/>
      <c r="T66" s="66"/>
      <c r="U66" s="70"/>
      <c r="V66" s="70"/>
      <c r="W66" s="70"/>
      <c r="X66" s="70"/>
    </row>
    <row r="67" spans="2:24" ht="7.5" customHeight="1" thickBot="1">
      <c r="B67" s="325"/>
      <c r="C67" s="70"/>
      <c r="D67" s="70"/>
      <c r="E67" s="70"/>
      <c r="F67" s="70"/>
      <c r="G67" s="70"/>
      <c r="H67" s="107"/>
      <c r="I67" s="326"/>
      <c r="J67" s="326"/>
      <c r="K67" s="327"/>
      <c r="L67" s="328"/>
      <c r="M67" s="328"/>
      <c r="N67" s="328"/>
      <c r="O67" s="328"/>
      <c r="P67" s="328"/>
      <c r="Q67" s="68"/>
      <c r="R67" s="66"/>
      <c r="S67" s="70"/>
      <c r="T67" s="70"/>
      <c r="U67" s="66"/>
      <c r="V67" s="66"/>
      <c r="W67" s="70"/>
      <c r="X67" s="70"/>
    </row>
    <row r="68" spans="2:24" s="66" customFormat="1" ht="55.9" thickBot="1">
      <c r="B68" s="278" t="s">
        <v>246</v>
      </c>
      <c r="C68" s="279" t="s">
        <v>247</v>
      </c>
      <c r="D68" s="280"/>
      <c r="E68" s="280"/>
      <c r="F68" s="280"/>
      <c r="G68" s="280"/>
      <c r="H68" s="329"/>
      <c r="I68" s="330" t="s">
        <v>156</v>
      </c>
      <c r="J68" s="132" t="s">
        <v>157</v>
      </c>
      <c r="K68" s="133" t="s">
        <v>222</v>
      </c>
      <c r="L68" s="281" t="s">
        <v>159</v>
      </c>
      <c r="M68" s="131" t="s">
        <v>160</v>
      </c>
      <c r="N68" s="131" t="s">
        <v>161</v>
      </c>
      <c r="O68" s="331" t="s">
        <v>162</v>
      </c>
      <c r="P68" s="332" t="s">
        <v>0</v>
      </c>
      <c r="Q68" s="282"/>
      <c r="R68" s="139"/>
      <c r="U68" s="70"/>
      <c r="V68" s="70"/>
    </row>
    <row r="69" spans="2:24" ht="24" customHeight="1">
      <c r="B69" s="233" t="s">
        <v>248</v>
      </c>
      <c r="C69" s="285" t="s">
        <v>249</v>
      </c>
      <c r="D69" s="333"/>
      <c r="E69" s="333"/>
      <c r="F69" s="333"/>
      <c r="G69" s="333"/>
      <c r="H69" s="334"/>
      <c r="I69" s="335">
        <f>J69+K69</f>
        <v>52106</v>
      </c>
      <c r="J69" s="335">
        <f>'Recettes et simulat'!G16</f>
        <v>4131</v>
      </c>
      <c r="K69" s="336">
        <f>'Recettes et simulat'!J28</f>
        <v>47975</v>
      </c>
      <c r="L69" s="239"/>
      <c r="M69" s="240"/>
      <c r="N69" s="337"/>
      <c r="O69" s="337"/>
      <c r="P69" s="242">
        <f>SUM(L69:O69)</f>
        <v>0</v>
      </c>
      <c r="Q69" s="66"/>
      <c r="R69" s="66"/>
      <c r="S69" s="70"/>
      <c r="T69" s="70"/>
      <c r="U69" s="70"/>
      <c r="V69" s="70"/>
      <c r="W69" s="70"/>
      <c r="X69" s="66"/>
    </row>
    <row r="70" spans="2:24" ht="27" customHeight="1" thickBot="1">
      <c r="B70" s="250" t="s">
        <v>250</v>
      </c>
      <c r="C70" s="251" t="s">
        <v>251</v>
      </c>
      <c r="D70" s="338"/>
      <c r="E70" s="338"/>
      <c r="F70" s="338"/>
      <c r="G70" s="338"/>
      <c r="H70" s="339"/>
      <c r="I70" s="340">
        <f>J70+K70</f>
        <v>0</v>
      </c>
      <c r="J70" s="341"/>
      <c r="K70" s="342">
        <f>'Recettes et simulat'!F39</f>
        <v>0</v>
      </c>
      <c r="L70" s="257"/>
      <c r="M70" s="258"/>
      <c r="N70" s="258"/>
      <c r="O70" s="343"/>
      <c r="P70" s="260">
        <f>SUM(L70:O70)</f>
        <v>0</v>
      </c>
      <c r="Q70" s="66"/>
      <c r="R70" s="66"/>
      <c r="S70" s="70"/>
      <c r="T70" s="70"/>
      <c r="U70" s="70"/>
      <c r="V70" s="70"/>
      <c r="W70" s="70"/>
      <c r="X70" s="66"/>
    </row>
    <row r="71" spans="2:24" ht="11.45" customHeight="1" thickBot="1">
      <c r="B71" s="344"/>
      <c r="C71" s="345"/>
      <c r="D71" s="346"/>
      <c r="E71" s="345"/>
      <c r="F71" s="346"/>
      <c r="G71" s="346"/>
      <c r="H71" s="346"/>
      <c r="I71" s="347"/>
      <c r="J71" s="347"/>
      <c r="K71" s="348"/>
      <c r="L71" s="347"/>
      <c r="M71" s="347"/>
      <c r="N71" s="347"/>
      <c r="O71" s="347"/>
      <c r="P71" s="347"/>
      <c r="Q71" s="349"/>
      <c r="R71" s="350"/>
      <c r="S71" s="351"/>
      <c r="T71" s="70"/>
      <c r="U71" s="70"/>
      <c r="V71" s="70"/>
      <c r="W71" s="70"/>
      <c r="X71" s="66"/>
    </row>
    <row r="72" spans="2:24" s="70" customFormat="1" ht="24.6" customHeight="1" thickBot="1">
      <c r="B72" s="306" t="s">
        <v>252</v>
      </c>
      <c r="C72" s="306"/>
      <c r="D72" s="307"/>
      <c r="E72" s="308"/>
      <c r="F72" s="307"/>
      <c r="G72" s="309"/>
      <c r="H72" s="310"/>
      <c r="I72" s="311">
        <f>I69+I70</f>
        <v>52106</v>
      </c>
      <c r="J72" s="311">
        <f>J69+J70</f>
        <v>4131</v>
      </c>
      <c r="K72" s="312">
        <f>K69+K70</f>
        <v>47975</v>
      </c>
      <c r="L72" s="311">
        <f t="shared" ref="L72:O72" si="31">L69+L70</f>
        <v>0</v>
      </c>
      <c r="M72" s="311">
        <f t="shared" si="31"/>
        <v>0</v>
      </c>
      <c r="N72" s="311">
        <f t="shared" si="31"/>
        <v>0</v>
      </c>
      <c r="O72" s="311">
        <f t="shared" si="31"/>
        <v>0</v>
      </c>
      <c r="P72" s="312">
        <f>P69+P70</f>
        <v>0</v>
      </c>
      <c r="U72" s="118"/>
      <c r="V72" s="118"/>
      <c r="X72" s="66"/>
    </row>
    <row r="73" spans="2:24" s="118" customFormat="1" ht="18" customHeight="1" thickBot="1">
      <c r="B73" s="271"/>
      <c r="C73" s="299"/>
      <c r="D73" s="352"/>
      <c r="E73" s="352"/>
      <c r="F73" s="352"/>
      <c r="G73" s="353"/>
      <c r="H73" s="353" t="s">
        <v>253</v>
      </c>
      <c r="I73" s="354"/>
      <c r="J73" s="354"/>
      <c r="K73" s="355">
        <f>IF(E8=0,0,K72/$E$8)</f>
        <v>6853.5714285714284</v>
      </c>
      <c r="L73" s="318"/>
      <c r="M73" s="318"/>
      <c r="N73" s="318"/>
      <c r="O73" s="319"/>
      <c r="P73" s="319"/>
      <c r="Q73" s="122"/>
      <c r="R73" s="244"/>
      <c r="S73" s="70"/>
    </row>
    <row r="74" spans="2:24" s="70" customFormat="1" ht="14.45" thickBot="1">
      <c r="C74" s="323"/>
      <c r="D74" s="323"/>
      <c r="E74" s="323"/>
      <c r="F74" s="323"/>
      <c r="G74" s="323"/>
      <c r="H74" s="323"/>
      <c r="I74" s="356"/>
      <c r="J74" s="356"/>
      <c r="K74" s="356"/>
      <c r="L74" s="356"/>
      <c r="M74" s="356"/>
      <c r="N74" s="356"/>
      <c r="O74" s="356"/>
      <c r="P74" s="356"/>
      <c r="Q74" s="67"/>
      <c r="R74" s="66"/>
    </row>
    <row r="75" spans="2:24" s="70" customFormat="1" ht="24.6" customHeight="1" thickBot="1">
      <c r="B75" s="306" t="s">
        <v>254</v>
      </c>
      <c r="C75" s="306"/>
      <c r="D75" s="307"/>
      <c r="E75" s="308"/>
      <c r="F75" s="307"/>
      <c r="G75" s="309"/>
      <c r="H75" s="310"/>
      <c r="I75" s="311">
        <f t="shared" ref="I75:P75" si="32">I72-I62</f>
        <v>-66984.08</v>
      </c>
      <c r="J75" s="311">
        <f t="shared" si="32"/>
        <v>-72081.473333333328</v>
      </c>
      <c r="K75" s="312">
        <f t="shared" si="32"/>
        <v>5097.3933333333334</v>
      </c>
      <c r="L75" s="311">
        <f t="shared" si="32"/>
        <v>0</v>
      </c>
      <c r="M75" s="311">
        <f t="shared" si="32"/>
        <v>0</v>
      </c>
      <c r="N75" s="311">
        <f t="shared" si="32"/>
        <v>0</v>
      </c>
      <c r="O75" s="311">
        <f t="shared" si="32"/>
        <v>0</v>
      </c>
      <c r="P75" s="312">
        <f t="shared" si="32"/>
        <v>0</v>
      </c>
      <c r="Q75" s="149">
        <f>IF($K$72=0,0,K75/$K$72)</f>
        <v>0.10625103352440507</v>
      </c>
      <c r="R75" s="150" t="s">
        <v>164</v>
      </c>
      <c r="U75" s="118"/>
      <c r="V75" s="118"/>
      <c r="X75" s="66"/>
    </row>
    <row r="76" spans="2:24" s="70" customFormat="1" ht="14.45" hidden="1" customHeight="1" thickBot="1">
      <c r="B76" s="306" t="s">
        <v>255</v>
      </c>
      <c r="C76" s="306"/>
      <c r="D76" s="307"/>
      <c r="E76" s="308"/>
      <c r="F76" s="307"/>
      <c r="G76" s="309"/>
      <c r="H76" s="310"/>
      <c r="I76" s="311">
        <f>'Budget détaillé heures comp'!I75</f>
        <v>-27665.97080000001</v>
      </c>
      <c r="J76" s="311">
        <f>'Budget détaillé heures comp'!J75</f>
        <v>-47844.538483333337</v>
      </c>
      <c r="K76" s="312">
        <f>'Budget détaillé heures comp'!K75</f>
        <v>20178.567683333335</v>
      </c>
      <c r="L76" s="311"/>
      <c r="M76" s="311"/>
      <c r="N76" s="311"/>
      <c r="O76" s="311"/>
      <c r="P76" s="312"/>
      <c r="Q76" s="149">
        <f>IF($K$72=0,0,K76/$K$72)</f>
        <v>0.42060589230501999</v>
      </c>
      <c r="R76" s="150" t="s">
        <v>164</v>
      </c>
      <c r="U76" s="118"/>
      <c r="V76" s="118"/>
      <c r="X76" s="66"/>
    </row>
    <row r="77" spans="2:24" ht="13.9">
      <c r="B77" s="70"/>
      <c r="C77" s="70"/>
      <c r="D77" s="70"/>
      <c r="E77" s="70"/>
      <c r="F77" s="70"/>
      <c r="G77" s="70"/>
      <c r="H77" s="107"/>
      <c r="I77" s="108"/>
      <c r="J77" s="109"/>
      <c r="K77" s="107"/>
      <c r="L77" s="107"/>
      <c r="M77" s="107"/>
      <c r="N77" s="107"/>
      <c r="O77" s="107"/>
      <c r="P77" s="107"/>
      <c r="Q77" s="66"/>
      <c r="R77" s="66"/>
      <c r="S77" s="70"/>
      <c r="T77" s="70"/>
      <c r="U77" s="70"/>
      <c r="V77" s="70"/>
      <c r="W77" s="70"/>
      <c r="X77" s="70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A12" sqref="A12:XFD12"/>
    </sheetView>
  </sheetViews>
  <sheetFormatPr defaultColWidth="11.5703125" defaultRowHeight="13.15"/>
  <cols>
    <col min="1" max="1" width="2.7109375" style="1" customWidth="1"/>
    <col min="2" max="2" width="11.5703125" style="1"/>
    <col min="3" max="3" width="34.7109375" style="1" bestFit="1" customWidth="1"/>
    <col min="4" max="4" width="9.28515625" style="1" customWidth="1"/>
    <col min="5" max="5" width="15" style="1" hidden="1" customWidth="1"/>
    <col min="6" max="7" width="5.42578125" style="1" hidden="1" customWidth="1"/>
    <col min="8" max="8" width="11.5703125" style="1"/>
    <col min="9" max="9" width="59.28515625" style="1" bestFit="1" customWidth="1"/>
    <col min="10" max="16384" width="11.5703125" style="1"/>
  </cols>
  <sheetData>
    <row r="3" spans="2:9">
      <c r="B3" s="568" t="s">
        <v>256</v>
      </c>
      <c r="C3" s="569"/>
      <c r="D3" s="569"/>
      <c r="E3" s="4"/>
      <c r="F3" s="4"/>
      <c r="G3" s="4"/>
      <c r="I3" s="8" t="s">
        <v>257</v>
      </c>
    </row>
    <row r="4" spans="2:9">
      <c r="C4" s="6"/>
      <c r="D4" s="6"/>
      <c r="E4" s="6"/>
      <c r="F4" s="7"/>
      <c r="G4" s="7"/>
    </row>
    <row r="5" spans="2:9" ht="14.45">
      <c r="E5" s="1" t="s">
        <v>258</v>
      </c>
      <c r="F5" s="407" t="s">
        <v>259</v>
      </c>
      <c r="G5" s="407" t="s">
        <v>260</v>
      </c>
    </row>
    <row r="6" spans="2:9" ht="14.45">
      <c r="B6" s="567" t="s">
        <v>261</v>
      </c>
      <c r="C6" s="4" t="s">
        <v>262</v>
      </c>
      <c r="D6" s="3" t="s">
        <v>36</v>
      </c>
      <c r="E6" s="3">
        <v>1</v>
      </c>
      <c r="F6" s="3">
        <v>1.5</v>
      </c>
      <c r="G6" s="3">
        <v>1.5</v>
      </c>
      <c r="I6" s="5" t="s">
        <v>263</v>
      </c>
    </row>
    <row r="7" spans="2:9" ht="14.45">
      <c r="B7" s="567"/>
      <c r="C7" s="4" t="s">
        <v>264</v>
      </c>
      <c r="D7" s="419" t="s">
        <v>49</v>
      </c>
      <c r="E7" s="3">
        <v>1</v>
      </c>
      <c r="F7" s="3">
        <v>1</v>
      </c>
      <c r="G7" s="3">
        <v>1</v>
      </c>
      <c r="I7" s="5" t="s">
        <v>265</v>
      </c>
    </row>
    <row r="8" spans="2:9" ht="14.45">
      <c r="B8" s="567"/>
      <c r="C8" s="5" t="s">
        <v>266</v>
      </c>
      <c r="D8" s="419" t="s">
        <v>47</v>
      </c>
      <c r="E8" s="3">
        <v>1</v>
      </c>
      <c r="F8" s="3">
        <v>0.66</v>
      </c>
      <c r="G8" s="3">
        <v>0.66</v>
      </c>
      <c r="I8" s="5" t="s">
        <v>267</v>
      </c>
    </row>
    <row r="9" spans="2:9" ht="14.45">
      <c r="B9" s="567" t="s">
        <v>268</v>
      </c>
      <c r="C9" s="4" t="s">
        <v>269</v>
      </c>
      <c r="D9" s="419" t="s">
        <v>64</v>
      </c>
      <c r="E9" s="419">
        <v>0</v>
      </c>
      <c r="F9" s="3">
        <v>0</v>
      </c>
      <c r="G9" s="3">
        <v>1</v>
      </c>
      <c r="I9" s="5" t="s">
        <v>107</v>
      </c>
    </row>
    <row r="10" spans="2:9" ht="14.45">
      <c r="B10" s="567"/>
      <c r="C10" s="5" t="s">
        <v>270</v>
      </c>
      <c r="D10" s="419" t="s">
        <v>271</v>
      </c>
      <c r="E10" s="3">
        <v>1</v>
      </c>
      <c r="F10" s="3">
        <v>1</v>
      </c>
      <c r="G10" s="3">
        <v>1</v>
      </c>
      <c r="I10" s="5" t="s">
        <v>272</v>
      </c>
    </row>
    <row r="11" spans="2:9" ht="14.45">
      <c r="B11" s="567"/>
      <c r="C11" s="5" t="s">
        <v>273</v>
      </c>
      <c r="D11" s="419" t="s">
        <v>274</v>
      </c>
      <c r="E11" s="3">
        <v>1</v>
      </c>
      <c r="F11" s="3">
        <v>1.5</v>
      </c>
      <c r="G11" s="3">
        <v>1.5</v>
      </c>
      <c r="I11" s="5" t="s">
        <v>275</v>
      </c>
    </row>
    <row r="12" spans="2:9" ht="14.45">
      <c r="B12" s="567"/>
      <c r="C12" s="4" t="s">
        <v>276</v>
      </c>
      <c r="D12" s="419" t="s">
        <v>67</v>
      </c>
      <c r="E12" s="3">
        <v>0</v>
      </c>
      <c r="F12" s="3">
        <v>0</v>
      </c>
      <c r="G12" s="3">
        <v>1</v>
      </c>
      <c r="I12" s="5" t="s">
        <v>277</v>
      </c>
    </row>
    <row r="13" spans="2:9" ht="14.45">
      <c r="B13" s="567"/>
      <c r="C13" s="5" t="s">
        <v>278</v>
      </c>
      <c r="D13" s="419" t="s">
        <v>279</v>
      </c>
      <c r="E13" s="3">
        <v>1</v>
      </c>
      <c r="F13" s="3">
        <v>1</v>
      </c>
      <c r="G13" s="3">
        <v>1</v>
      </c>
      <c r="I13" s="5" t="s">
        <v>280</v>
      </c>
    </row>
    <row r="14" spans="2:9" ht="14.45">
      <c r="B14" s="567"/>
      <c r="C14" s="5" t="s">
        <v>281</v>
      </c>
      <c r="D14" s="419" t="s">
        <v>282</v>
      </c>
      <c r="E14" s="3">
        <v>1</v>
      </c>
      <c r="F14" s="3">
        <v>1.5</v>
      </c>
      <c r="G14" s="3">
        <v>1.5</v>
      </c>
      <c r="I14" s="5" t="s">
        <v>283</v>
      </c>
    </row>
    <row r="15" spans="2:9" ht="14.45">
      <c r="B15" s="567"/>
      <c r="C15" s="4" t="s">
        <v>284</v>
      </c>
      <c r="D15" s="419" t="s">
        <v>48</v>
      </c>
      <c r="E15" s="3">
        <v>0</v>
      </c>
      <c r="F15" s="3">
        <v>0</v>
      </c>
      <c r="G15" s="3">
        <v>1</v>
      </c>
      <c r="I15" s="5" t="s">
        <v>285</v>
      </c>
    </row>
    <row r="16" spans="2:9" ht="14.45">
      <c r="B16" s="567"/>
      <c r="C16" s="5" t="s">
        <v>286</v>
      </c>
      <c r="D16" s="419" t="s">
        <v>53</v>
      </c>
      <c r="E16" s="3">
        <v>1</v>
      </c>
      <c r="F16" s="3">
        <v>1</v>
      </c>
      <c r="G16" s="3">
        <v>1</v>
      </c>
      <c r="I16" s="5" t="s">
        <v>287</v>
      </c>
    </row>
    <row r="17" spans="2:19" ht="14.45">
      <c r="B17" s="567"/>
      <c r="C17" s="5" t="s">
        <v>288</v>
      </c>
      <c r="D17" s="419" t="s">
        <v>289</v>
      </c>
      <c r="E17" s="3">
        <v>1</v>
      </c>
      <c r="F17" s="3">
        <v>1.5</v>
      </c>
      <c r="G17" s="3">
        <v>1.5</v>
      </c>
      <c r="I17" s="5" t="s">
        <v>290</v>
      </c>
    </row>
    <row r="18" spans="2:19" ht="14.45">
      <c r="B18" s="567"/>
      <c r="C18" s="4" t="s">
        <v>291</v>
      </c>
      <c r="D18" s="419" t="s">
        <v>43</v>
      </c>
      <c r="E18" s="3">
        <v>0</v>
      </c>
      <c r="F18" s="3">
        <v>0</v>
      </c>
      <c r="G18" s="3">
        <v>1</v>
      </c>
      <c r="I18" s="2"/>
    </row>
    <row r="19" spans="2:19" ht="14.45">
      <c r="B19" s="567"/>
      <c r="C19" s="5" t="s">
        <v>292</v>
      </c>
      <c r="D19" s="419" t="s">
        <v>293</v>
      </c>
      <c r="E19" s="3">
        <v>1</v>
      </c>
      <c r="F19" s="3">
        <v>1</v>
      </c>
      <c r="G19" s="3">
        <v>1</v>
      </c>
      <c r="I19" s="2"/>
    </row>
    <row r="20" spans="2:19" ht="14.45">
      <c r="B20" s="567"/>
      <c r="C20" s="5" t="s">
        <v>294</v>
      </c>
      <c r="D20" s="419" t="s">
        <v>295</v>
      </c>
      <c r="E20" s="3">
        <v>1</v>
      </c>
      <c r="F20" s="3">
        <v>1.5</v>
      </c>
      <c r="G20" s="3">
        <v>1.5</v>
      </c>
    </row>
    <row r="21" spans="2:19" ht="14.45">
      <c r="B21" s="567"/>
      <c r="C21" s="4" t="s">
        <v>296</v>
      </c>
      <c r="D21" s="419" t="s">
        <v>297</v>
      </c>
      <c r="E21" s="3">
        <v>1</v>
      </c>
      <c r="F21" s="3">
        <v>1</v>
      </c>
      <c r="G21" s="3">
        <v>1</v>
      </c>
    </row>
    <row r="22" spans="2:19" ht="14.45">
      <c r="B22" s="567"/>
      <c r="C22" s="4" t="s">
        <v>298</v>
      </c>
      <c r="D22" s="419" t="s">
        <v>80</v>
      </c>
      <c r="E22" s="3">
        <v>0</v>
      </c>
      <c r="F22" s="3">
        <v>0</v>
      </c>
      <c r="G22" s="3">
        <v>1</v>
      </c>
    </row>
    <row r="23" spans="2:19" ht="14.45">
      <c r="B23" s="567"/>
      <c r="C23" s="5" t="s">
        <v>299</v>
      </c>
      <c r="D23" s="419" t="s">
        <v>79</v>
      </c>
      <c r="E23" s="419">
        <v>1</v>
      </c>
      <c r="F23" s="3">
        <v>1</v>
      </c>
      <c r="G23" s="3">
        <v>1</v>
      </c>
    </row>
    <row r="24" spans="2:19" ht="14.45">
      <c r="B24" s="567"/>
      <c r="C24" s="5" t="s">
        <v>300</v>
      </c>
      <c r="D24" s="5" t="s">
        <v>301</v>
      </c>
      <c r="E24" s="4">
        <v>1</v>
      </c>
      <c r="F24" s="3">
        <v>1.5</v>
      </c>
      <c r="G24" s="3">
        <v>1.5</v>
      </c>
    </row>
    <row r="25" spans="2:19" ht="14.45">
      <c r="B25" s="567"/>
      <c r="C25" s="4" t="s">
        <v>302</v>
      </c>
      <c r="D25" s="5" t="s">
        <v>303</v>
      </c>
      <c r="E25" s="5">
        <v>0</v>
      </c>
      <c r="F25" s="3">
        <v>0</v>
      </c>
      <c r="G25" s="3">
        <v>1</v>
      </c>
    </row>
    <row r="26" spans="2:19">
      <c r="B26" s="567"/>
      <c r="C26" s="5" t="s">
        <v>304</v>
      </c>
      <c r="D26" s="5" t="s">
        <v>305</v>
      </c>
      <c r="E26" s="5">
        <v>1</v>
      </c>
      <c r="F26" s="4">
        <v>1</v>
      </c>
      <c r="G26" s="4">
        <v>1</v>
      </c>
    </row>
    <row r="27" spans="2:19">
      <c r="B27" s="567"/>
      <c r="C27" s="5" t="s">
        <v>306</v>
      </c>
      <c r="D27" s="5" t="s">
        <v>307</v>
      </c>
      <c r="E27" s="5">
        <v>1</v>
      </c>
      <c r="F27" s="4">
        <v>1.5</v>
      </c>
      <c r="G27" s="4">
        <v>1.5</v>
      </c>
    </row>
    <row r="31" spans="2:19" ht="13.9">
      <c r="S31" s="118"/>
    </row>
    <row r="32" spans="2:19" ht="13.9">
      <c r="S32" s="118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defaultColWidth="11.42578125" defaultRowHeight="13.15" outlineLevelRow="2" outlineLevelCol="1"/>
  <cols>
    <col min="1" max="1" width="1.28515625" customWidth="1"/>
    <col min="2" max="2" width="5.7109375" customWidth="1"/>
    <col min="3" max="3" width="14.7109375" customWidth="1"/>
    <col min="4" max="4" width="16.42578125" customWidth="1"/>
    <col min="5" max="5" width="14.7109375" customWidth="1"/>
    <col min="6" max="6" width="4.7109375" customWidth="1"/>
    <col min="7" max="7" width="10.7109375" customWidth="1"/>
    <col min="8" max="11" width="11" customWidth="1"/>
    <col min="12" max="16" width="11" hidden="1" customWidth="1" outlineLevel="1"/>
    <col min="17" max="17" width="9.28515625" customWidth="1" collapsed="1"/>
    <col min="18" max="18" width="6.85546875" customWidth="1"/>
    <col min="19" max="19" width="6.140625" customWidth="1"/>
    <col min="20" max="20" width="11.28515625" bestFit="1" customWidth="1"/>
    <col min="21" max="21" width="24.5703125" bestFit="1" customWidth="1"/>
  </cols>
  <sheetData>
    <row r="1" spans="1:22" ht="7.15" customHeight="1" thickBot="1">
      <c r="A1" s="70"/>
      <c r="B1" s="70"/>
      <c r="C1" s="70"/>
      <c r="D1" s="70"/>
      <c r="E1" s="70"/>
      <c r="F1" s="70"/>
      <c r="G1" s="70"/>
      <c r="H1" s="107"/>
      <c r="I1" s="108"/>
      <c r="J1" s="109"/>
      <c r="K1" s="107"/>
      <c r="L1" s="107"/>
      <c r="M1" s="107"/>
      <c r="N1" s="107"/>
      <c r="O1" s="107"/>
      <c r="P1" s="107"/>
      <c r="Q1" s="66"/>
      <c r="R1" s="66"/>
      <c r="S1" s="70"/>
      <c r="T1" s="70"/>
      <c r="U1" s="70"/>
      <c r="V1" s="70"/>
    </row>
    <row r="2" spans="1:22" ht="28.15" customHeight="1" thickBot="1">
      <c r="A2" s="70"/>
      <c r="B2" s="517" t="s">
        <v>148</v>
      </c>
      <c r="C2" s="518"/>
      <c r="D2" s="518"/>
      <c r="E2" s="518"/>
      <c r="F2" s="518"/>
      <c r="G2" s="518"/>
      <c r="H2" s="518"/>
      <c r="I2" s="518"/>
      <c r="J2" s="518"/>
      <c r="K2" s="519"/>
      <c r="L2" s="517" t="s">
        <v>149</v>
      </c>
      <c r="M2" s="518"/>
      <c r="N2" s="518"/>
      <c r="O2" s="518"/>
      <c r="P2" s="519"/>
      <c r="Q2" s="66"/>
      <c r="R2" s="66"/>
      <c r="S2" s="70"/>
      <c r="T2" s="70"/>
      <c r="U2" s="70"/>
      <c r="V2" s="70"/>
    </row>
    <row r="3" spans="1:22" ht="6.75" customHeight="1">
      <c r="A3" s="70"/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66"/>
      <c r="R3" s="66"/>
      <c r="S3" s="70"/>
      <c r="T3" s="70"/>
      <c r="U3" s="70"/>
      <c r="V3" s="70"/>
    </row>
    <row r="4" spans="1:22" ht="5.25" customHeight="1">
      <c r="A4" s="70"/>
      <c r="B4" s="70"/>
      <c r="C4" s="70"/>
      <c r="D4" s="70"/>
      <c r="E4" s="70"/>
      <c r="F4" s="107"/>
      <c r="G4" s="107"/>
      <c r="H4" s="107"/>
      <c r="I4" s="107"/>
      <c r="J4" s="109"/>
      <c r="K4" s="107"/>
      <c r="L4" s="107"/>
      <c r="M4" s="107"/>
      <c r="N4" s="107"/>
      <c r="O4" s="107"/>
      <c r="P4" s="107"/>
      <c r="Q4" s="66"/>
      <c r="R4" s="66"/>
      <c r="S4" s="70"/>
      <c r="T4" s="70"/>
      <c r="U4" s="70"/>
      <c r="V4" s="70"/>
    </row>
    <row r="5" spans="1:22" ht="22.15" customHeight="1">
      <c r="A5" s="70"/>
      <c r="B5" s="70"/>
      <c r="C5" s="111" t="s">
        <v>97</v>
      </c>
      <c r="D5" s="555" t="str">
        <f>'Recettes et simulat'!D4</f>
        <v>Université Lumière Lyon 2</v>
      </c>
      <c r="E5" s="556"/>
      <c r="F5" s="70"/>
      <c r="G5" s="111" t="s">
        <v>99</v>
      </c>
      <c r="H5" s="555" t="str">
        <f>'Recettes et simulat'!H4</f>
        <v>Master</v>
      </c>
      <c r="I5" s="557"/>
      <c r="J5" s="557"/>
      <c r="K5" s="556"/>
      <c r="L5" s="107"/>
      <c r="M5" s="107"/>
      <c r="N5" s="107"/>
      <c r="O5" s="107"/>
      <c r="P5" s="107"/>
      <c r="Q5" s="66"/>
      <c r="R5" s="66"/>
      <c r="S5" s="70"/>
      <c r="T5" s="70"/>
      <c r="U5" s="74" t="s">
        <v>108</v>
      </c>
      <c r="V5" s="70"/>
    </row>
    <row r="6" spans="1:22" ht="22.15" customHeight="1">
      <c r="A6" s="70"/>
      <c r="B6" s="70"/>
      <c r="C6" s="110" t="s">
        <v>101</v>
      </c>
      <c r="D6" s="555" t="str">
        <f>'Recettes et simulat'!D5</f>
        <v>En cours</v>
      </c>
      <c r="E6" s="556"/>
      <c r="F6" s="70"/>
      <c r="G6" s="111" t="s">
        <v>150</v>
      </c>
      <c r="H6" s="555" t="str">
        <f>'Recettes et simulat'!H5</f>
        <v>Nouvelles Pratiques Journalistiques (NPJ)</v>
      </c>
      <c r="I6" s="557"/>
      <c r="J6" s="557"/>
      <c r="K6" s="556"/>
      <c r="L6" s="107"/>
      <c r="M6" s="107"/>
      <c r="N6" s="107"/>
      <c r="O6" s="107"/>
      <c r="P6" s="107"/>
      <c r="Q6" s="66"/>
      <c r="R6" s="66"/>
      <c r="S6" s="70"/>
      <c r="T6" s="70"/>
      <c r="U6" s="70"/>
      <c r="V6" s="70"/>
    </row>
    <row r="7" spans="1:22" ht="22.15" customHeight="1">
      <c r="A7" s="70"/>
      <c r="B7" s="70"/>
      <c r="C7" s="112" t="s">
        <v>105</v>
      </c>
      <c r="D7" s="113"/>
      <c r="E7" s="114">
        <f>'Recettes et simulat'!E6</f>
        <v>24</v>
      </c>
      <c r="F7" s="70"/>
      <c r="G7" s="111" t="s">
        <v>106</v>
      </c>
      <c r="H7" s="555" t="str">
        <f>'Recettes et simulat'!H6</f>
        <v>ICOM - Institut de Communication</v>
      </c>
      <c r="I7" s="557"/>
      <c r="J7" s="557"/>
      <c r="K7" s="556"/>
      <c r="L7" s="107"/>
      <c r="M7" s="107"/>
      <c r="N7" s="107"/>
      <c r="O7" s="107"/>
      <c r="P7" s="107"/>
      <c r="Q7" s="66"/>
      <c r="R7" s="66"/>
      <c r="S7" s="70"/>
      <c r="T7" s="70"/>
      <c r="U7" s="70"/>
      <c r="V7" s="70"/>
    </row>
    <row r="8" spans="1:22" ht="22.15" customHeight="1">
      <c r="A8" s="70"/>
      <c r="B8" s="70"/>
      <c r="C8" s="112" t="s">
        <v>109</v>
      </c>
      <c r="D8" s="113"/>
      <c r="E8" s="114">
        <f>'Recettes et simulat'!E7</f>
        <v>7</v>
      </c>
      <c r="F8" s="70"/>
      <c r="G8" s="75" t="s">
        <v>110</v>
      </c>
      <c r="H8" s="70"/>
      <c r="I8" s="70"/>
      <c r="J8" s="115">
        <f>'Recettes et simulat'!J7</f>
        <v>2022</v>
      </c>
      <c r="K8" s="115">
        <f>'Recettes et simulat'!K7</f>
        <v>2023</v>
      </c>
      <c r="L8" s="70"/>
      <c r="M8" s="70"/>
      <c r="N8" s="70"/>
      <c r="O8" s="70"/>
      <c r="P8" s="70"/>
      <c r="Q8" s="66"/>
      <c r="R8" s="66"/>
      <c r="S8" s="70"/>
      <c r="T8" s="70"/>
      <c r="U8" s="70"/>
      <c r="V8" s="70"/>
    </row>
    <row r="9" spans="1:22" ht="22.15" customHeight="1">
      <c r="A9" s="70"/>
      <c r="B9" s="70"/>
      <c r="C9" s="70"/>
      <c r="D9" s="70"/>
      <c r="E9" s="70"/>
      <c r="F9" s="70"/>
      <c r="G9" s="116"/>
      <c r="H9" s="70"/>
      <c r="I9" s="70"/>
      <c r="J9" s="70"/>
      <c r="K9" s="70"/>
      <c r="L9" s="70"/>
      <c r="M9" s="70"/>
      <c r="N9" s="70"/>
      <c r="O9" s="70"/>
      <c r="P9" s="70"/>
      <c r="Q9" s="66"/>
      <c r="R9" s="66"/>
      <c r="S9" s="70"/>
      <c r="T9" s="70"/>
      <c r="U9" s="117"/>
      <c r="V9" s="117"/>
    </row>
    <row r="10" spans="1:22" s="118" customFormat="1" ht="16.899999999999999" customHeight="1" thickBot="1">
      <c r="C10" s="119"/>
      <c r="D10" s="119"/>
      <c r="E10" s="119"/>
      <c r="F10" s="119"/>
      <c r="G10" s="120"/>
      <c r="H10" s="120"/>
      <c r="I10" s="121"/>
      <c r="Q10" s="66"/>
      <c r="R10" s="122"/>
      <c r="S10" s="70"/>
      <c r="T10" s="117"/>
      <c r="U10" s="66"/>
      <c r="V10" s="70"/>
    </row>
    <row r="11" spans="1:22" ht="24.6" customHeight="1" thickBot="1">
      <c r="A11" s="70"/>
      <c r="B11" s="517" t="s">
        <v>151</v>
      </c>
      <c r="C11" s="518"/>
      <c r="D11" s="518"/>
      <c r="E11" s="518"/>
      <c r="F11" s="518"/>
      <c r="G11" s="518"/>
      <c r="H11" s="518"/>
      <c r="I11" s="518"/>
      <c r="J11" s="518"/>
      <c r="K11" s="519"/>
      <c r="L11" s="123"/>
      <c r="M11" s="124"/>
      <c r="N11" s="124"/>
      <c r="O11" s="124"/>
      <c r="P11" s="125"/>
      <c r="Q11" s="66"/>
      <c r="R11" s="66"/>
      <c r="S11" s="70"/>
      <c r="T11" s="66"/>
      <c r="U11" s="66"/>
      <c r="V11" s="66"/>
    </row>
    <row r="12" spans="1:22" s="66" customFormat="1" ht="12.6" customHeight="1" thickBot="1">
      <c r="B12" s="126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8"/>
      <c r="V12" s="70"/>
    </row>
    <row r="13" spans="1:22" s="70" customFormat="1" ht="69.599999999999994" thickBot="1">
      <c r="B13" s="129" t="s">
        <v>152</v>
      </c>
      <c r="C13" s="561" t="s">
        <v>153</v>
      </c>
      <c r="D13" s="562"/>
      <c r="E13" s="562"/>
      <c r="F13" s="563"/>
      <c r="G13" s="130" t="s">
        <v>154</v>
      </c>
      <c r="H13" s="131" t="s">
        <v>155</v>
      </c>
      <c r="I13" s="131" t="s">
        <v>156</v>
      </c>
      <c r="J13" s="132" t="s">
        <v>157</v>
      </c>
      <c r="K13" s="133" t="s">
        <v>158</v>
      </c>
      <c r="L13" s="134" t="s">
        <v>159</v>
      </c>
      <c r="M13" s="135" t="s">
        <v>160</v>
      </c>
      <c r="N13" s="135" t="s">
        <v>161</v>
      </c>
      <c r="O13" s="136" t="s">
        <v>162</v>
      </c>
      <c r="P13" s="137" t="s">
        <v>0</v>
      </c>
      <c r="Q13" s="138"/>
      <c r="R13" s="139"/>
      <c r="T13" s="66"/>
      <c r="U13" s="66"/>
      <c r="V13" s="118"/>
    </row>
    <row r="14" spans="1:22" s="118" customFormat="1" ht="21.6" customHeight="1" thickBot="1">
      <c r="B14" s="140" t="s">
        <v>163</v>
      </c>
      <c r="C14" s="141"/>
      <c r="D14" s="142"/>
      <c r="E14" s="142"/>
      <c r="F14" s="142"/>
      <c r="G14" s="143">
        <f>G20+G27+G32</f>
        <v>365.76</v>
      </c>
      <c r="H14" s="144">
        <f>IF(G20+G27+G32=0,0,(I20+I27+I32)/(G20+G27+G32))</f>
        <v>45.483297244094487</v>
      </c>
      <c r="I14" s="145">
        <f>I20+I32+I27</f>
        <v>16635.970799999999</v>
      </c>
      <c r="J14" s="146">
        <f>J20+J32+J27</f>
        <v>10288.70515</v>
      </c>
      <c r="K14" s="147">
        <f>K20+K32+K27</f>
        <v>6347.2656499999994</v>
      </c>
      <c r="L14" s="148">
        <f>L20+L32+L27</f>
        <v>0</v>
      </c>
      <c r="M14" s="144">
        <f>M20+M32+M27</f>
        <v>0</v>
      </c>
      <c r="N14" s="145">
        <f t="shared" ref="N14:O14" si="0">N20+N32+N27</f>
        <v>0</v>
      </c>
      <c r="O14" s="144">
        <f t="shared" si="0"/>
        <v>0</v>
      </c>
      <c r="P14" s="147">
        <f>P20+P32+P27</f>
        <v>0</v>
      </c>
      <c r="Q14" s="149">
        <f>IF($K$72=0,0,K14/$K$72)</f>
        <v>0.13230360917144346</v>
      </c>
      <c r="R14" s="150" t="s">
        <v>164</v>
      </c>
      <c r="S14" s="70"/>
      <c r="T14" s="66"/>
      <c r="U14" s="66"/>
      <c r="V14" s="70"/>
    </row>
    <row r="15" spans="1:22" s="70" customFormat="1" ht="16.899999999999999" customHeight="1" outlineLevel="1">
      <c r="B15" s="151" t="s">
        <v>165</v>
      </c>
      <c r="C15" s="152" t="s">
        <v>166</v>
      </c>
      <c r="D15" s="153"/>
      <c r="E15" s="153"/>
      <c r="F15" s="154"/>
      <c r="G15" s="155"/>
      <c r="H15" s="156"/>
      <c r="I15" s="155"/>
      <c r="J15" s="155"/>
      <c r="K15" s="157"/>
      <c r="L15" s="158"/>
      <c r="M15" s="156"/>
      <c r="N15" s="156"/>
      <c r="O15" s="156"/>
      <c r="P15" s="157"/>
      <c r="Q15" s="159"/>
      <c r="R15" s="160"/>
      <c r="S15" s="160"/>
      <c r="T15" s="160"/>
      <c r="U15" s="85"/>
      <c r="V15" s="118"/>
    </row>
    <row r="16" spans="1:22" s="118" customFormat="1" ht="16.899999999999999" customHeight="1" outlineLevel="1">
      <c r="B16" s="161" t="s">
        <v>167</v>
      </c>
      <c r="C16" s="558" t="s">
        <v>23</v>
      </c>
      <c r="D16" s="559"/>
      <c r="E16" s="559"/>
      <c r="F16" s="560"/>
      <c r="G16" s="162">
        <f>'Budget détaillé'!G16</f>
        <v>130.96</v>
      </c>
      <c r="H16" s="163">
        <v>43.48</v>
      </c>
      <c r="I16" s="164">
        <f>H16*G16</f>
        <v>5694.1408000000001</v>
      </c>
      <c r="J16" s="164">
        <f>I16-K16</f>
        <v>4033.3497333333335</v>
      </c>
      <c r="K16" s="165">
        <f>IF($E$7=0,0,I16/$E$7*$E$8)</f>
        <v>1660.7910666666667</v>
      </c>
      <c r="L16" s="166"/>
      <c r="M16" s="76"/>
      <c r="N16" s="76"/>
      <c r="O16" s="76"/>
      <c r="P16" s="167">
        <f>SUM(L16:O16)</f>
        <v>0</v>
      </c>
      <c r="Q16" s="168">
        <f>IF($I16=0,0,$G16*$J16/$I16)</f>
        <v>92.763333333333335</v>
      </c>
      <c r="R16" s="168">
        <f>IF($I16=0,0,IF($P16=0,0,$G16*$J16/$I16*L16/$P16))</f>
        <v>0</v>
      </c>
      <c r="S16" s="168">
        <f t="shared" ref="S16:U19" si="1">IF($I16=0,0,IF($P16=0,0,$G16*$J16/$I16*M16/$P16))</f>
        <v>0</v>
      </c>
      <c r="T16" s="168">
        <f t="shared" si="1"/>
        <v>0</v>
      </c>
      <c r="U16" s="168">
        <f>IF($I16=0,0,IF($P16=0,0,$G16*$J16/$I16*O16/$P16))</f>
        <v>0</v>
      </c>
      <c r="V16" s="169">
        <f>G16-Q16</f>
        <v>38.196666666666673</v>
      </c>
    </row>
    <row r="17" spans="2:23" s="118" customFormat="1" ht="16.899999999999999" customHeight="1" outlineLevel="1">
      <c r="B17" s="161" t="s">
        <v>168</v>
      </c>
      <c r="C17" s="558" t="s">
        <v>24</v>
      </c>
      <c r="D17" s="559"/>
      <c r="E17" s="559"/>
      <c r="F17" s="560"/>
      <c r="G17" s="162">
        <f>'Budget détaillé'!G17</f>
        <v>21</v>
      </c>
      <c r="H17" s="365">
        <f>ROUND(41.41*1.4319,2)</f>
        <v>59.29</v>
      </c>
      <c r="I17" s="170">
        <f>H17*G17</f>
        <v>1245.0899999999999</v>
      </c>
      <c r="J17" s="164">
        <f t="shared" ref="J17:J19" si="2">I17-K17</f>
        <v>881.93874999999991</v>
      </c>
      <c r="K17" s="165">
        <f t="shared" ref="K17:K19" si="3">IF($E$7=0,0,I17/$E$7*$E$8)</f>
        <v>363.15125</v>
      </c>
      <c r="L17" s="166"/>
      <c r="M17" s="76"/>
      <c r="N17" s="76"/>
      <c r="O17" s="76"/>
      <c r="P17" s="171">
        <f>SUM(L17:O17)</f>
        <v>0</v>
      </c>
      <c r="Q17" s="168">
        <f>IF($I17=0,0,$G17*$J17/$I17)</f>
        <v>14.875</v>
      </c>
      <c r="R17" s="168">
        <f t="shared" ref="R17:R19" si="4">IF($I17=0,0,IF($P17=0,0,$G17*$J17/$I17*L17/$P17))</f>
        <v>0</v>
      </c>
      <c r="S17" s="168">
        <f t="shared" si="1"/>
        <v>0</v>
      </c>
      <c r="T17" s="168">
        <f t="shared" si="1"/>
        <v>0</v>
      </c>
      <c r="U17" s="168">
        <f t="shared" si="1"/>
        <v>0</v>
      </c>
      <c r="V17" s="169">
        <f t="shared" ref="V17:V18" si="5">G17-Q17</f>
        <v>6.125</v>
      </c>
    </row>
    <row r="18" spans="2:23" s="118" customFormat="1" ht="16.899999999999999" customHeight="1" outlineLevel="1">
      <c r="B18" s="161" t="s">
        <v>169</v>
      </c>
      <c r="C18" s="558" t="s">
        <v>170</v>
      </c>
      <c r="D18" s="559"/>
      <c r="E18" s="559"/>
      <c r="F18" s="560"/>
      <c r="G18" s="162">
        <f>'Budget détaillé'!G18</f>
        <v>106.8</v>
      </c>
      <c r="H18" s="163">
        <v>52</v>
      </c>
      <c r="I18" s="170">
        <f>H18*G18</f>
        <v>5553.5999999999995</v>
      </c>
      <c r="J18" s="164">
        <f t="shared" si="2"/>
        <v>3933.7999999999997</v>
      </c>
      <c r="K18" s="165">
        <f t="shared" si="3"/>
        <v>1619.7999999999997</v>
      </c>
      <c r="L18" s="166"/>
      <c r="M18" s="76"/>
      <c r="N18" s="76"/>
      <c r="O18" s="76"/>
      <c r="P18" s="171">
        <f>SUM(L18:O18)</f>
        <v>0</v>
      </c>
      <c r="Q18" s="168">
        <f>IF($I18=0,0,$G18*$J18/$I18)</f>
        <v>75.650000000000006</v>
      </c>
      <c r="R18" s="168">
        <f>IF($I18=0,0,IF($P18=0,0,$G18*$J18/$I18*L18/$P18))</f>
        <v>0</v>
      </c>
      <c r="S18" s="168">
        <f t="shared" si="1"/>
        <v>0</v>
      </c>
      <c r="T18" s="168">
        <f t="shared" si="1"/>
        <v>0</v>
      </c>
      <c r="U18" s="168">
        <f t="shared" si="1"/>
        <v>0</v>
      </c>
      <c r="V18" s="169">
        <f t="shared" si="5"/>
        <v>31.149999999999991</v>
      </c>
    </row>
    <row r="19" spans="2:23" s="118" customFormat="1" ht="18.600000000000001" customHeight="1" outlineLevel="1">
      <c r="B19" s="161" t="s">
        <v>171</v>
      </c>
      <c r="C19" s="558" t="s">
        <v>172</v>
      </c>
      <c r="D19" s="559"/>
      <c r="E19" s="559"/>
      <c r="F19" s="560"/>
      <c r="G19" s="162">
        <f>'Budget détaillé'!G19</f>
        <v>0</v>
      </c>
      <c r="H19" s="172">
        <f>'Budget détaillé'!H19</f>
        <v>0</v>
      </c>
      <c r="I19" s="170">
        <f t="shared" ref="I19" si="6">H19*G19</f>
        <v>0</v>
      </c>
      <c r="J19" s="164">
        <f t="shared" si="2"/>
        <v>0</v>
      </c>
      <c r="K19" s="165">
        <f t="shared" si="3"/>
        <v>0</v>
      </c>
      <c r="L19" s="166"/>
      <c r="M19" s="166"/>
      <c r="N19" s="173"/>
      <c r="O19" s="76"/>
      <c r="P19" s="171">
        <f>SUM(L19:O19)</f>
        <v>0</v>
      </c>
      <c r="Q19" s="168">
        <f>IF($I19=0,0,$G19*$J19/$I19)</f>
        <v>0</v>
      </c>
      <c r="R19" s="168">
        <f t="shared" si="4"/>
        <v>0</v>
      </c>
      <c r="S19" s="168">
        <f>IF($I19=0,0,IF($P19=0,0,$G19*$J19/$I19*M19/$P19))</f>
        <v>0</v>
      </c>
      <c r="T19" s="168">
        <f t="shared" si="1"/>
        <v>0</v>
      </c>
      <c r="U19" s="168">
        <f t="shared" si="1"/>
        <v>0</v>
      </c>
      <c r="V19" s="169">
        <f>G19-Q19</f>
        <v>0</v>
      </c>
    </row>
    <row r="20" spans="2:23" s="118" customFormat="1" ht="22.15" customHeight="1" outlineLevel="1" thickBot="1">
      <c r="B20" s="564" t="s">
        <v>173</v>
      </c>
      <c r="C20" s="565"/>
      <c r="D20" s="565"/>
      <c r="E20" s="565"/>
      <c r="F20" s="566"/>
      <c r="G20" s="174">
        <f>SUM(G16:G19)</f>
        <v>258.76</v>
      </c>
      <c r="H20" s="175">
        <f>IF(G20=0,0,I20/G20)</f>
        <v>48.279605812335753</v>
      </c>
      <c r="I20" s="176">
        <f>SUM(I16:I19)</f>
        <v>12492.8308</v>
      </c>
      <c r="J20" s="177">
        <f>SUM(J16:J19)</f>
        <v>8849.088483333333</v>
      </c>
      <c r="K20" s="178">
        <f>SUM(K16:K19)</f>
        <v>3643.7423166666663</v>
      </c>
      <c r="L20" s="179">
        <f>SUM(L16:L19)</f>
        <v>0</v>
      </c>
      <c r="M20" s="176">
        <f>SUM(M16:M19)</f>
        <v>0</v>
      </c>
      <c r="N20" s="176">
        <f t="shared" ref="N20:P20" si="7">SUM(N16:N19)</f>
        <v>0</v>
      </c>
      <c r="O20" s="176">
        <f t="shared" si="7"/>
        <v>0</v>
      </c>
      <c r="P20" s="178">
        <f t="shared" si="7"/>
        <v>0</v>
      </c>
      <c r="Q20" s="149">
        <f>IF($K$72=0,0,K20/$K$72)</f>
        <v>7.5950856001389608E-2</v>
      </c>
      <c r="R20" s="150" t="s">
        <v>164</v>
      </c>
      <c r="S20" s="70"/>
      <c r="T20" s="66"/>
      <c r="U20" s="66"/>
      <c r="V20" s="70"/>
    </row>
    <row r="21" spans="2:23" s="70" customFormat="1" ht="16.899999999999999" customHeight="1" outlineLevel="1">
      <c r="B21" s="151" t="s">
        <v>174</v>
      </c>
      <c r="C21" s="152" t="s">
        <v>175</v>
      </c>
      <c r="D21" s="153"/>
      <c r="E21" s="153"/>
      <c r="F21" s="154"/>
      <c r="G21" s="155"/>
      <c r="H21" s="156"/>
      <c r="I21" s="155"/>
      <c r="J21" s="155"/>
      <c r="K21" s="157"/>
      <c r="L21" s="158"/>
      <c r="M21" s="156"/>
      <c r="N21" s="156"/>
      <c r="O21" s="156"/>
      <c r="P21" s="157"/>
      <c r="Q21" s="180"/>
      <c r="R21" s="66"/>
      <c r="S21" s="66"/>
      <c r="T21" s="66"/>
      <c r="U21" s="118"/>
      <c r="V21" s="118"/>
    </row>
    <row r="22" spans="2:23" s="118" customFormat="1" ht="16.899999999999999" customHeight="1" outlineLevel="1">
      <c r="B22" s="161" t="s">
        <v>176</v>
      </c>
      <c r="C22" s="415" t="s">
        <v>177</v>
      </c>
      <c r="D22" s="417"/>
      <c r="E22" s="417"/>
      <c r="F22" s="418"/>
      <c r="G22" s="162">
        <f>'Budget détaillé'!G22</f>
        <v>0</v>
      </c>
      <c r="H22" s="163">
        <f>IF(G22=0,0,(SUMIF(Enseignements!$G$8:$G$100,Paramétrage!#REF!,Enseignements!U$8:U$100)*$H$16+SUMIF(Enseignements!$G$8:$G$100,Paramétrage!#REF!,Enseignements!V$8:V$100)*$H$17+SUMIF(Enseignements!$G$8:$G$100,Paramétrage!#REF!,Enseignements!W$8:W$100)*$H$18+SUMIF(Enseignements!$G$8:$G$100,Paramétrage!#REF!,Enseignements!X$8:X$100)*$H$19)/G22)</f>
        <v>0</v>
      </c>
      <c r="I22" s="164">
        <f>H22*G22</f>
        <v>0</v>
      </c>
      <c r="J22" s="170">
        <f>I22-K22</f>
        <v>0</v>
      </c>
      <c r="K22" s="165">
        <f t="shared" ref="K22" si="8">IF($E$7=0,0,I22/$E$7*$E$8)</f>
        <v>0</v>
      </c>
      <c r="L22" s="166"/>
      <c r="M22" s="173"/>
      <c r="N22" s="173"/>
      <c r="O22" s="76"/>
      <c r="P22" s="167">
        <f>SUM(L22:O22)</f>
        <v>0</v>
      </c>
      <c r="Q22" s="168">
        <f>IF($I22=0,0,$G22*$J22/$I22)</f>
        <v>0</v>
      </c>
      <c r="R22" s="168">
        <f t="shared" ref="R22:T26" si="9">IF($I22=0,0,IF($P22=0,0,$G22*$J22/$I22*L22/$P22))</f>
        <v>0</v>
      </c>
      <c r="S22" s="168">
        <f t="shared" si="9"/>
        <v>0</v>
      </c>
      <c r="T22" s="168">
        <f>IF($I22=0,0,IF($P22=0,0,$G22*$J22/$I22*N22/$P22))</f>
        <v>0</v>
      </c>
      <c r="U22" s="168">
        <f t="shared" ref="U22:U26" si="10">IF($I22=0,0,IF($P22=0,0,$G22*$J22/$I22*O22/$P22))</f>
        <v>0</v>
      </c>
      <c r="V22" s="168">
        <f t="shared" ref="V22:V30" si="11">G22-Q22</f>
        <v>0</v>
      </c>
      <c r="W22" s="85"/>
    </row>
    <row r="23" spans="2:23" s="118" customFormat="1" ht="16.899999999999999" customHeight="1" outlineLevel="1">
      <c r="B23" s="161" t="s">
        <v>178</v>
      </c>
      <c r="C23" s="558" t="s">
        <v>179</v>
      </c>
      <c r="D23" s="559"/>
      <c r="E23" s="559"/>
      <c r="F23" s="560"/>
      <c r="G23" s="162">
        <f>'Budget détaillé'!G23</f>
        <v>21</v>
      </c>
      <c r="H23" s="163">
        <f>IF(G23=0,0,(SUMIF(Enseignements!$G$8:$G$100,Paramétrage!$D$17,Enseignements!U$8:U$100)*$H$16+SUMIF(Enseignements!$G$8:$G$100,Paramétrage!$D$17,Enseignements!V$8:V$100)*$H$17+SUMIF(Enseignements!$G$8:$G$100,Paramétrage!$D$17,Enseignements!W$8:W$100)*$H$18+SUMIF(Enseignements!$G$8:$G$100,Paramétrage!$D$17,Enseignements!X$8:X$100)*$H$19)/G23)</f>
        <v>0</v>
      </c>
      <c r="I23" s="164">
        <f>H23*G23</f>
        <v>0</v>
      </c>
      <c r="J23" s="164">
        <f>I23-K23</f>
        <v>0</v>
      </c>
      <c r="K23" s="165">
        <f>IF($E$7=0,0,I23/$E$7*$E$8)</f>
        <v>0</v>
      </c>
      <c r="L23" s="76"/>
      <c r="M23" s="76"/>
      <c r="N23" s="76"/>
      <c r="O23" s="76"/>
      <c r="P23" s="171">
        <f>SUM(L23:O23)</f>
        <v>0</v>
      </c>
      <c r="Q23" s="168">
        <f>IF($I23=0,0,$G23*$J23/$I23)</f>
        <v>0</v>
      </c>
      <c r="R23" s="168">
        <f t="shared" si="9"/>
        <v>0</v>
      </c>
      <c r="S23" s="168">
        <f t="shared" si="9"/>
        <v>0</v>
      </c>
      <c r="T23" s="168">
        <f t="shared" si="9"/>
        <v>0</v>
      </c>
      <c r="U23" s="168">
        <f t="shared" si="10"/>
        <v>0</v>
      </c>
      <c r="V23" s="168">
        <f t="shared" si="11"/>
        <v>21</v>
      </c>
      <c r="W23" s="85"/>
    </row>
    <row r="24" spans="2:23" s="118" customFormat="1" ht="16.899999999999999" customHeight="1" outlineLevel="1">
      <c r="B24" s="161" t="s">
        <v>180</v>
      </c>
      <c r="C24" s="558" t="s">
        <v>181</v>
      </c>
      <c r="D24" s="559"/>
      <c r="E24" s="559"/>
      <c r="F24" s="560"/>
      <c r="G24" s="162">
        <f>'Budget détaillé'!G24</f>
        <v>0</v>
      </c>
      <c r="H24" s="163">
        <f>IF(G24=0,0,(SUMIF(Enseignements!$G$8:$G$100,Paramétrage!$D$19,Enseignements!U$8:U$100)*$H$16+SUMIF(Enseignements!$G$8:$G$100,Paramétrage!$D$19,Enseignements!V$8:V$100)*$H$17+SUMIF(Enseignements!$G$8:$G$100,Paramétrage!$D$19,Enseignements!W$8:W$100)*$H$18+SUMIF(Enseignements!$G$8:$G$100,Paramétrage!$D$19,Enseignements!X$8:X$100)*$H$19)/G24)</f>
        <v>0</v>
      </c>
      <c r="I24" s="164">
        <f>H24*G24</f>
        <v>0</v>
      </c>
      <c r="J24" s="170">
        <f>I24</f>
        <v>0</v>
      </c>
      <c r="K24" s="165">
        <v>0</v>
      </c>
      <c r="L24" s="166"/>
      <c r="M24" s="76"/>
      <c r="N24" s="76"/>
      <c r="O24" s="76"/>
      <c r="P24" s="171">
        <f>SUM(L24:O24)</f>
        <v>0</v>
      </c>
      <c r="Q24" s="168">
        <f>IF($I24=0,0,$G24*$J24/$I24)</f>
        <v>0</v>
      </c>
      <c r="R24" s="168">
        <f t="shared" si="9"/>
        <v>0</v>
      </c>
      <c r="S24" s="168">
        <f t="shared" si="9"/>
        <v>0</v>
      </c>
      <c r="T24" s="168">
        <f t="shared" si="9"/>
        <v>0</v>
      </c>
      <c r="U24" s="168">
        <f t="shared" si="10"/>
        <v>0</v>
      </c>
      <c r="V24" s="168">
        <f t="shared" si="11"/>
        <v>0</v>
      </c>
      <c r="W24" s="85"/>
    </row>
    <row r="25" spans="2:23" s="118" customFormat="1" ht="16.899999999999999" customHeight="1" outlineLevel="1">
      <c r="B25" s="161" t="s">
        <v>182</v>
      </c>
      <c r="C25" s="558" t="s">
        <v>183</v>
      </c>
      <c r="D25" s="559"/>
      <c r="E25" s="559"/>
      <c r="F25" s="560"/>
      <c r="G25" s="162">
        <f>'Budget détaillé'!G25</f>
        <v>42</v>
      </c>
      <c r="H25" s="163">
        <f>IF(G25=0,0,(SUMIF(Enseignements!$G$8:$G$100,Paramétrage!$D$12,Enseignements!U$8:U$100)*$H$16+SUMIF(Enseignements!$G$8:$G$100,Paramétrage!$D$12,Enseignements!V$8:V$100)*$H$17+SUMIF(Enseignements!$G$8:$G$100,Paramétrage!$D$12,Enseignements!W$8:W$100)*$H$18+SUMIF(Enseignements!$G$8:$G$100,Paramétrage!$D$12,Enseignements!X$8:X$100)*$H$19)/G25)</f>
        <v>50.255714285714284</v>
      </c>
      <c r="I25" s="164">
        <f>H25*G25</f>
        <v>2110.7399999999998</v>
      </c>
      <c r="J25" s="164">
        <f>I25-K25</f>
        <v>0</v>
      </c>
      <c r="K25" s="165">
        <f>I25</f>
        <v>2110.7399999999998</v>
      </c>
      <c r="L25" s="166"/>
      <c r="M25" s="173"/>
      <c r="N25" s="173"/>
      <c r="O25" s="76"/>
      <c r="P25" s="171">
        <f>SUM(L25:O25)</f>
        <v>0</v>
      </c>
      <c r="Q25" s="168">
        <f>IF($I25=0,0,$G25*$J25/$I25)</f>
        <v>0</v>
      </c>
      <c r="R25" s="168">
        <f t="shared" si="9"/>
        <v>0</v>
      </c>
      <c r="S25" s="168">
        <f t="shared" si="9"/>
        <v>0</v>
      </c>
      <c r="T25" s="168">
        <f t="shared" si="9"/>
        <v>0</v>
      </c>
      <c r="U25" s="168">
        <f t="shared" si="10"/>
        <v>0</v>
      </c>
      <c r="V25" s="168">
        <f t="shared" si="11"/>
        <v>42</v>
      </c>
      <c r="W25" s="85"/>
    </row>
    <row r="26" spans="2:23" s="118" customFormat="1" ht="16.899999999999999" customHeight="1" outlineLevel="1">
      <c r="B26" s="161" t="s">
        <v>184</v>
      </c>
      <c r="C26" s="558" t="s">
        <v>185</v>
      </c>
      <c r="D26" s="559"/>
      <c r="E26" s="559"/>
      <c r="F26" s="560"/>
      <c r="G26" s="162">
        <f>'Budget détaillé'!G26</f>
        <v>14</v>
      </c>
      <c r="H26" s="163">
        <f>IF(G26=0,0,(SUMIF(Enseignements!$G$8:$G$100,Paramétrage!$D$22,Enseignements!U$8:U$100)*$H$16+SUMIF(Enseignements!$G$8:$G$100,Paramétrage!$D$22,Enseignements!V$8:V$100)*$H$17+SUMIF(Enseignements!$G$8:$G$100,Paramétrage!$D$22,Enseignements!W$8:W$100)*$H$18+SUMIF(Enseignements!$G$8:$G$100,Paramétrage!$D$22,Enseignements!X$8:X$100)*$H$19)/G26)+IF(G26=0,0,(SUMIF(Enseignements!$G$8:$G$100,Paramétrage!$D$25,Enseignements!U$8:U$100)*$H$16+SUMIF(Enseignements!$G$8:$G$100,Paramétrage!$D$25,Enseignements!V$8:V$100)*$H$17+SUMIF(Enseignements!$G$8:$G$100,Paramétrage!$D$25,Enseignements!W$8:W$100)*$H$18+SUMIF(Enseignements!$G$8:$G$100,Paramétrage!$D$25,Enseignements!X$8:X$100)*$H$19)/G26)</f>
        <v>52</v>
      </c>
      <c r="I26" s="164">
        <f>H26*G26</f>
        <v>728</v>
      </c>
      <c r="J26" s="164">
        <f>I26-K26</f>
        <v>515.66666666666674</v>
      </c>
      <c r="K26" s="165">
        <f t="shared" ref="K26" si="12">IF($E$7=0,0,I26/$E$7*$E$8)</f>
        <v>212.33333333333331</v>
      </c>
      <c r="L26" s="76"/>
      <c r="M26" s="76"/>
      <c r="N26" s="76"/>
      <c r="O26" s="76"/>
      <c r="P26" s="171">
        <f>SUM(L26:O26)</f>
        <v>0</v>
      </c>
      <c r="Q26" s="168">
        <f>IF($I26=0,0,$G26*$J26/$I26)</f>
        <v>9.9166666666666679</v>
      </c>
      <c r="R26" s="168">
        <f t="shared" si="9"/>
        <v>0</v>
      </c>
      <c r="S26" s="168">
        <f t="shared" si="9"/>
        <v>0</v>
      </c>
      <c r="T26" s="168">
        <f t="shared" si="9"/>
        <v>0</v>
      </c>
      <c r="U26" s="168">
        <f t="shared" si="10"/>
        <v>0</v>
      </c>
      <c r="V26" s="168">
        <f t="shared" si="11"/>
        <v>4.0833333333333321</v>
      </c>
      <c r="W26" s="85"/>
    </row>
    <row r="27" spans="2:23" s="118" customFormat="1" ht="21.6" customHeight="1" outlineLevel="1" thickBot="1">
      <c r="B27" s="564" t="s">
        <v>186</v>
      </c>
      <c r="C27" s="565"/>
      <c r="D27" s="565"/>
      <c r="E27" s="565"/>
      <c r="F27" s="566"/>
      <c r="G27" s="174">
        <f>SUM(G22:G26)</f>
        <v>77</v>
      </c>
      <c r="H27" s="175">
        <f>IF(G27=0,0,I27/G27)</f>
        <v>36.866753246753241</v>
      </c>
      <c r="I27" s="175">
        <f>SUM(I22:I26)</f>
        <v>2838.74</v>
      </c>
      <c r="J27" s="175">
        <f t="shared" ref="J27:K27" si="13">SUM(J22:J26)</f>
        <v>515.66666666666674</v>
      </c>
      <c r="K27" s="175">
        <f t="shared" si="13"/>
        <v>2323.0733333333333</v>
      </c>
      <c r="L27" s="181">
        <f>SUM(L22:L26)</f>
        <v>0</v>
      </c>
      <c r="M27" s="182">
        <f>SUM(M22:M26)</f>
        <v>0</v>
      </c>
      <c r="N27" s="183">
        <f t="shared" ref="N27:O27" si="14">SUM(N22:N26)</f>
        <v>0</v>
      </c>
      <c r="O27" s="176">
        <f t="shared" si="14"/>
        <v>0</v>
      </c>
      <c r="P27" s="178">
        <f t="shared" ref="P27" si="15">SUM(P22:P25)</f>
        <v>0</v>
      </c>
      <c r="Q27" s="149">
        <f>IF($K$72=0,0,K27/$K$72)</f>
        <v>4.8422581205488965E-2</v>
      </c>
      <c r="R27" s="150" t="s">
        <v>164</v>
      </c>
      <c r="S27" s="70"/>
      <c r="T27" s="117"/>
    </row>
    <row r="28" spans="2:23" s="118" customFormat="1" ht="16.899999999999999" customHeight="1" outlineLevel="1">
      <c r="B28" s="184" t="s">
        <v>187</v>
      </c>
      <c r="C28" s="185" t="s">
        <v>188</v>
      </c>
      <c r="D28" s="116"/>
      <c r="E28" s="116"/>
      <c r="F28" s="186"/>
      <c r="G28" s="187"/>
      <c r="H28" s="188"/>
      <c r="I28" s="187"/>
      <c r="J28" s="187"/>
      <c r="K28" s="189"/>
      <c r="L28" s="190"/>
      <c r="M28" s="191"/>
      <c r="N28" s="191"/>
      <c r="O28" s="191"/>
      <c r="P28" s="192"/>
      <c r="Q28" s="159"/>
      <c r="R28" s="193">
        <f t="shared" ref="R28:U31" si="16">IF($I28=0,0,IF($P28=0,0,$G28*$J28/$I28*L28/$P28))</f>
        <v>0</v>
      </c>
      <c r="S28" s="193">
        <f t="shared" si="16"/>
        <v>0</v>
      </c>
      <c r="T28" s="193">
        <f t="shared" si="16"/>
        <v>0</v>
      </c>
      <c r="U28" s="194">
        <f t="shared" si="16"/>
        <v>0</v>
      </c>
      <c r="V28" s="195"/>
    </row>
    <row r="29" spans="2:23" s="118" customFormat="1" ht="16.899999999999999" customHeight="1" outlineLevel="1">
      <c r="B29" s="161" t="s">
        <v>189</v>
      </c>
      <c r="C29" s="558" t="s">
        <v>190</v>
      </c>
      <c r="D29" s="559"/>
      <c r="E29" s="559"/>
      <c r="F29" s="560"/>
      <c r="G29" s="76">
        <f>'Budget détaillé'!G29</f>
        <v>30</v>
      </c>
      <c r="H29" s="163">
        <f>+H16</f>
        <v>43.48</v>
      </c>
      <c r="I29" s="196">
        <f>H29*G29</f>
        <v>1304.3999999999999</v>
      </c>
      <c r="J29" s="164">
        <f t="shared" ref="J29:J31" si="17">I29-K29</f>
        <v>923.94999999999993</v>
      </c>
      <c r="K29" s="165">
        <f t="shared" ref="K29:K31" si="18">IF($E$7=0,0,I29/$E$7*$E$8)</f>
        <v>380.44999999999993</v>
      </c>
      <c r="L29" s="197"/>
      <c r="M29" s="76"/>
      <c r="N29" s="76"/>
      <c r="O29" s="76"/>
      <c r="P29" s="171">
        <f>SUM(L29:O29)</f>
        <v>0</v>
      </c>
      <c r="Q29" s="168">
        <f>IF($I29=0,0,$G29*$J29/$I29)</f>
        <v>21.25</v>
      </c>
      <c r="R29" s="168">
        <f t="shared" si="16"/>
        <v>0</v>
      </c>
      <c r="S29" s="168">
        <f t="shared" si="16"/>
        <v>0</v>
      </c>
      <c r="T29" s="168">
        <f t="shared" si="16"/>
        <v>0</v>
      </c>
      <c r="U29" s="168">
        <f>IF($I29=0,0,IF($P29=0,0,$G29*$J29/$I29*O29/$P29))</f>
        <v>0</v>
      </c>
      <c r="V29" s="169">
        <f t="shared" si="11"/>
        <v>8.75</v>
      </c>
      <c r="W29" s="198"/>
    </row>
    <row r="30" spans="2:23" s="118" customFormat="1" ht="16.899999999999999" customHeight="1" outlineLevel="1">
      <c r="B30" s="161" t="s">
        <v>191</v>
      </c>
      <c r="C30" s="558" t="s">
        <v>192</v>
      </c>
      <c r="D30" s="559"/>
      <c r="E30" s="559"/>
      <c r="F30" s="560"/>
      <c r="G30" s="76">
        <f>'Budget détaillé'!G30</f>
        <v>0</v>
      </c>
      <c r="H30" s="163">
        <f>$H$20</f>
        <v>48.279605812335753</v>
      </c>
      <c r="I30" s="196">
        <f>H30*G30</f>
        <v>0</v>
      </c>
      <c r="J30" s="164">
        <f t="shared" si="17"/>
        <v>0</v>
      </c>
      <c r="K30" s="165">
        <f>I30</f>
        <v>0</v>
      </c>
      <c r="L30" s="197"/>
      <c r="M30" s="166"/>
      <c r="N30" s="76"/>
      <c r="O30" s="76"/>
      <c r="P30" s="171">
        <f>SUM(L30:O30)</f>
        <v>0</v>
      </c>
      <c r="Q30" s="168">
        <f t="shared" ref="Q30:Q31" si="19">IF($I30=0,0,$G30*$J30/$I30)</f>
        <v>0</v>
      </c>
      <c r="R30" s="168">
        <f t="shared" si="16"/>
        <v>0</v>
      </c>
      <c r="S30" s="168">
        <f t="shared" si="16"/>
        <v>0</v>
      </c>
      <c r="T30" s="168">
        <f t="shared" si="16"/>
        <v>0</v>
      </c>
      <c r="U30" s="168">
        <f t="shared" si="16"/>
        <v>0</v>
      </c>
      <c r="V30" s="169">
        <f t="shared" si="11"/>
        <v>0</v>
      </c>
      <c r="W30" s="198"/>
    </row>
    <row r="31" spans="2:23" s="118" customFormat="1" ht="16.899999999999999" customHeight="1" outlineLevel="1">
      <c r="B31" s="161" t="s">
        <v>193</v>
      </c>
      <c r="C31" s="416" t="s">
        <v>26</v>
      </c>
      <c r="D31" s="417"/>
      <c r="E31" s="417"/>
      <c r="F31" s="418"/>
      <c r="G31" s="76">
        <f>'Budget détaillé'!G31</f>
        <v>0</v>
      </c>
      <c r="H31" s="163">
        <f>$H$20</f>
        <v>48.279605812335753</v>
      </c>
      <c r="I31" s="200">
        <f>H31*G31</f>
        <v>0</v>
      </c>
      <c r="J31" s="164">
        <f t="shared" si="17"/>
        <v>0</v>
      </c>
      <c r="K31" s="165">
        <f t="shared" si="18"/>
        <v>0</v>
      </c>
      <c r="L31" s="201"/>
      <c r="M31" s="76"/>
      <c r="N31" s="76"/>
      <c r="O31" s="76"/>
      <c r="P31" s="171">
        <f>SUM(L31:O31)</f>
        <v>0</v>
      </c>
      <c r="Q31" s="168">
        <f t="shared" si="19"/>
        <v>0</v>
      </c>
      <c r="R31" s="168">
        <f t="shared" si="16"/>
        <v>0</v>
      </c>
      <c r="S31" s="168">
        <f t="shared" si="16"/>
        <v>0</v>
      </c>
      <c r="T31" s="168">
        <f t="shared" si="16"/>
        <v>0</v>
      </c>
      <c r="U31" s="168">
        <f t="shared" si="16"/>
        <v>0</v>
      </c>
      <c r="V31" s="169">
        <f>G31-Q31</f>
        <v>0</v>
      </c>
      <c r="W31" s="198"/>
    </row>
    <row r="32" spans="2:23" s="118" customFormat="1" ht="21" customHeight="1" outlineLevel="1" thickBot="1">
      <c r="B32" s="570" t="s">
        <v>194</v>
      </c>
      <c r="C32" s="571"/>
      <c r="D32" s="571"/>
      <c r="E32" s="571"/>
      <c r="F32" s="572"/>
      <c r="G32" s="202">
        <f>SUM(G29:G31)</f>
        <v>30</v>
      </c>
      <c r="H32" s="203">
        <f>IF(G32=0,0,I32/G32)</f>
        <v>43.48</v>
      </c>
      <c r="I32" s="203">
        <f>SUM(I29:I31)</f>
        <v>1304.3999999999999</v>
      </c>
      <c r="J32" s="203">
        <f>SUM(J29:J31)</f>
        <v>923.94999999999993</v>
      </c>
      <c r="K32" s="204">
        <f>SUM(K29:K31)</f>
        <v>380.44999999999993</v>
      </c>
      <c r="L32" s="179">
        <f t="shared" ref="L32:M32" si="20">SUM(L29:L31)</f>
        <v>0</v>
      </c>
      <c r="M32" s="176">
        <f t="shared" si="20"/>
        <v>0</v>
      </c>
      <c r="N32" s="176">
        <f>SUM(N29:N31)</f>
        <v>0</v>
      </c>
      <c r="O32" s="176">
        <f>SUM(O29:O31)</f>
        <v>0</v>
      </c>
      <c r="P32" s="178">
        <f t="shared" ref="P32" si="21">SUM(P28:P31)</f>
        <v>0</v>
      </c>
      <c r="Q32" s="149">
        <f>IF($K$72=0,0,K32/$K$72)</f>
        <v>7.9301719645648756E-3</v>
      </c>
      <c r="R32" s="150" t="s">
        <v>164</v>
      </c>
      <c r="S32" s="70"/>
      <c r="T32" s="117"/>
      <c r="U32" s="67"/>
    </row>
    <row r="33" spans="2:22" s="118" customFormat="1" ht="21" customHeight="1" outlineLevel="1">
      <c r="B33" s="205"/>
      <c r="C33" s="206"/>
      <c r="D33" s="207"/>
      <c r="E33" s="208"/>
      <c r="F33" s="208"/>
      <c r="G33" s="208"/>
      <c r="H33" s="209" t="s">
        <v>195</v>
      </c>
      <c r="I33" s="210">
        <f>K33+J33</f>
        <v>365.76</v>
      </c>
      <c r="J33" s="210">
        <f>SUM(Q16:Q19)+SUM(Q22:Q26)+SUM(Q29:Q31)</f>
        <v>214.45500000000001</v>
      </c>
      <c r="K33" s="211">
        <f>SUM(V16:V19)+SUM(V22:V26)+SUM(V29:V31)</f>
        <v>151.30500000000001</v>
      </c>
      <c r="L33" s="212"/>
      <c r="M33" s="212"/>
      <c r="N33" s="212"/>
      <c r="O33" s="212"/>
      <c r="P33" s="212"/>
      <c r="Q33" s="213"/>
      <c r="R33" s="213"/>
      <c r="S33" s="214"/>
      <c r="T33" s="215"/>
      <c r="U33" s="117"/>
      <c r="V33" s="216"/>
    </row>
    <row r="34" spans="2:22" s="118" customFormat="1" ht="21" customHeight="1" outlineLevel="1" thickBot="1">
      <c r="B34" s="217"/>
      <c r="C34" s="218"/>
      <c r="D34" s="219"/>
      <c r="E34" s="220"/>
      <c r="F34" s="220"/>
      <c r="G34" s="220"/>
      <c r="H34" s="221" t="s">
        <v>196</v>
      </c>
      <c r="I34" s="222">
        <f>IF($E$7=0,0,(I32+I20+I27)/$E$7)</f>
        <v>693.16544999999996</v>
      </c>
      <c r="J34" s="223">
        <f>IF($E$7-$E$8=0,0,(J32+J20+J27)/($E$7-$E$8))</f>
        <v>605.21794999999997</v>
      </c>
      <c r="K34" s="224">
        <f>IF($E$8=0,0,(K32+K20+K27)/$E$8)</f>
        <v>906.75223571428558</v>
      </c>
      <c r="L34" s="212"/>
      <c r="M34" s="212"/>
      <c r="N34" s="212"/>
      <c r="O34" s="212"/>
      <c r="P34" s="212"/>
      <c r="Q34" s="213"/>
      <c r="R34" s="213"/>
      <c r="S34" s="214"/>
      <c r="T34" s="215"/>
      <c r="U34" s="117"/>
      <c r="V34" s="216"/>
    </row>
    <row r="35" spans="2:22" s="70" customFormat="1" ht="22.15" customHeight="1" thickBot="1">
      <c r="B35" s="225" t="s">
        <v>197</v>
      </c>
      <c r="C35" s="226"/>
      <c r="D35" s="227"/>
      <c r="E35" s="227"/>
      <c r="F35" s="227"/>
      <c r="G35" s="227"/>
      <c r="H35" s="228"/>
      <c r="I35" s="229">
        <f t="shared" ref="I35:P35" si="22">SUM(I36:I44)</f>
        <v>16600</v>
      </c>
      <c r="J35" s="230">
        <f t="shared" si="22"/>
        <v>10270.833333333332</v>
      </c>
      <c r="K35" s="231">
        <f t="shared" si="22"/>
        <v>6329.166666666667</v>
      </c>
      <c r="L35" s="148">
        <f t="shared" si="22"/>
        <v>0</v>
      </c>
      <c r="M35" s="144">
        <f t="shared" si="22"/>
        <v>0</v>
      </c>
      <c r="N35" s="145">
        <f t="shared" si="22"/>
        <v>0</v>
      </c>
      <c r="O35" s="144">
        <f t="shared" si="22"/>
        <v>0</v>
      </c>
      <c r="P35" s="232">
        <f t="shared" si="22"/>
        <v>0</v>
      </c>
      <c r="Q35" s="149">
        <f>IF($K$72=0,0,K35/$K$72)</f>
        <v>0.13192635052978982</v>
      </c>
      <c r="R35" s="150" t="s">
        <v>164</v>
      </c>
      <c r="U35" s="118"/>
      <c r="V35" s="118"/>
    </row>
    <row r="36" spans="2:22" s="118" customFormat="1" ht="16.899999999999999" customHeight="1" outlineLevel="1">
      <c r="B36" s="233" t="s">
        <v>198</v>
      </c>
      <c r="C36" s="234" t="s">
        <v>199</v>
      </c>
      <c r="D36" s="235"/>
      <c r="E36" s="235"/>
      <c r="F36" s="235"/>
      <c r="G36" s="235"/>
      <c r="H36" s="235"/>
      <c r="I36" s="236">
        <f>'Budget détaillé'!I36</f>
        <v>0</v>
      </c>
      <c r="J36" s="237">
        <f>'Budget détaillé'!J36</f>
        <v>0</v>
      </c>
      <c r="K36" s="238">
        <f>'Budget détaillé'!K36</f>
        <v>0</v>
      </c>
      <c r="L36" s="239"/>
      <c r="M36" s="240"/>
      <c r="N36" s="241"/>
      <c r="O36" s="240"/>
      <c r="P36" s="242">
        <f>SUM(L36:O36)</f>
        <v>0</v>
      </c>
      <c r="Q36" s="243"/>
      <c r="R36" s="244"/>
      <c r="S36" s="70"/>
    </row>
    <row r="37" spans="2:22" s="118" customFormat="1" ht="16.899999999999999" customHeight="1" outlineLevel="1">
      <c r="B37" s="94" t="s">
        <v>200</v>
      </c>
      <c r="C37" s="245" t="s">
        <v>201</v>
      </c>
      <c r="D37" s="246"/>
      <c r="E37" s="246"/>
      <c r="F37" s="246"/>
      <c r="G37" s="246"/>
      <c r="H37" s="246"/>
      <c r="I37" s="247">
        <f>'Budget détaillé'!I37</f>
        <v>0</v>
      </c>
      <c r="J37" s="163">
        <f>'Budget détaillé'!J37</f>
        <v>0</v>
      </c>
      <c r="K37" s="248">
        <f>'Budget détaillé'!K37</f>
        <v>0</v>
      </c>
      <c r="L37" s="197"/>
      <c r="M37" s="166"/>
      <c r="N37" s="249"/>
      <c r="O37" s="166"/>
      <c r="P37" s="171">
        <f>SUM(L37:O37)</f>
        <v>0</v>
      </c>
      <c r="Q37" s="243"/>
      <c r="R37" s="244"/>
      <c r="S37" s="70"/>
    </row>
    <row r="38" spans="2:22" s="118" customFormat="1" ht="16.899999999999999" customHeight="1" outlineLevel="1">
      <c r="B38" s="94" t="s">
        <v>202</v>
      </c>
      <c r="C38" s="245" t="s">
        <v>203</v>
      </c>
      <c r="D38" s="246"/>
      <c r="E38" s="246"/>
      <c r="F38" s="246"/>
      <c r="G38" s="246"/>
      <c r="H38" s="246"/>
      <c r="I38" s="247">
        <f>'Budget détaillé'!I38</f>
        <v>10000</v>
      </c>
      <c r="J38" s="163">
        <f>'Budget détaillé'!J38</f>
        <v>7083.333333333333</v>
      </c>
      <c r="K38" s="248">
        <f>'Budget détaillé'!K38</f>
        <v>2916.666666666667</v>
      </c>
      <c r="L38" s="197"/>
      <c r="M38" s="166"/>
      <c r="N38" s="249"/>
      <c r="O38" s="166"/>
      <c r="P38" s="171">
        <f t="shared" ref="P38:P44" si="23">SUM(L38:O38)</f>
        <v>0</v>
      </c>
      <c r="Q38" s="243"/>
      <c r="R38" s="244"/>
      <c r="S38" s="70"/>
    </row>
    <row r="39" spans="2:22" s="118" customFormat="1" ht="16.899999999999999" customHeight="1" outlineLevel="1">
      <c r="B39" s="94" t="s">
        <v>204</v>
      </c>
      <c r="C39" s="245" t="s">
        <v>205</v>
      </c>
      <c r="D39" s="246"/>
      <c r="E39" s="246"/>
      <c r="F39" s="246"/>
      <c r="G39" s="246"/>
      <c r="H39" s="246"/>
      <c r="I39" s="247">
        <f>'Budget détaillé'!I39</f>
        <v>1000</v>
      </c>
      <c r="J39" s="163">
        <f>'Budget détaillé'!J39</f>
        <v>708.33333333333337</v>
      </c>
      <c r="K39" s="248">
        <f>'Budget détaillé'!K39</f>
        <v>291.66666666666663</v>
      </c>
      <c r="L39" s="197"/>
      <c r="M39" s="166"/>
      <c r="N39" s="249"/>
      <c r="O39" s="166"/>
      <c r="P39" s="171">
        <f t="shared" si="23"/>
        <v>0</v>
      </c>
      <c r="Q39" s="243"/>
      <c r="R39" s="244"/>
      <c r="S39" s="70"/>
    </row>
    <row r="40" spans="2:22" s="118" customFormat="1" ht="16.899999999999999" customHeight="1" outlineLevel="1">
      <c r="B40" s="94" t="s">
        <v>206</v>
      </c>
      <c r="C40" s="245" t="s">
        <v>207</v>
      </c>
      <c r="D40" s="246"/>
      <c r="E40" s="246"/>
      <c r="F40" s="246"/>
      <c r="G40" s="246"/>
      <c r="H40" s="246"/>
      <c r="I40" s="247">
        <f>'Budget détaillé'!I40</f>
        <v>3000</v>
      </c>
      <c r="J40" s="163">
        <f>'Budget détaillé'!J40</f>
        <v>2125</v>
      </c>
      <c r="K40" s="248">
        <f>'Budget détaillé'!K40</f>
        <v>875</v>
      </c>
      <c r="L40" s="197"/>
      <c r="M40" s="166"/>
      <c r="N40" s="249"/>
      <c r="O40" s="166"/>
      <c r="P40" s="171">
        <f>SUM(L40:O40)</f>
        <v>0</v>
      </c>
      <c r="Q40" s="243"/>
      <c r="R40" s="244"/>
      <c r="S40" s="70"/>
    </row>
    <row r="41" spans="2:22" s="118" customFormat="1" ht="16.899999999999999" customHeight="1" outlineLevel="1">
      <c r="B41" s="94" t="s">
        <v>208</v>
      </c>
      <c r="C41" s="245" t="s">
        <v>209</v>
      </c>
      <c r="D41" s="246"/>
      <c r="E41" s="246"/>
      <c r="F41" s="246"/>
      <c r="G41" s="246"/>
      <c r="H41" s="246"/>
      <c r="I41" s="247">
        <f>'Budget détaillé'!I41</f>
        <v>0</v>
      </c>
      <c r="J41" s="163">
        <f>'Budget détaillé'!J41</f>
        <v>0</v>
      </c>
      <c r="K41" s="248">
        <f>'Budget détaillé'!K41</f>
        <v>0</v>
      </c>
      <c r="L41" s="197"/>
      <c r="M41" s="166"/>
      <c r="N41" s="249"/>
      <c r="O41" s="166"/>
      <c r="P41" s="171">
        <f>SUM(L41:O41)</f>
        <v>0</v>
      </c>
      <c r="Q41" s="243"/>
      <c r="R41" s="244"/>
      <c r="S41" s="70"/>
    </row>
    <row r="42" spans="2:22" s="118" customFormat="1" ht="16.899999999999999" customHeight="1" outlineLevel="1">
      <c r="B42" s="94" t="s">
        <v>210</v>
      </c>
      <c r="C42" s="245" t="s">
        <v>308</v>
      </c>
      <c r="D42" s="246"/>
      <c r="E42" s="246"/>
      <c r="F42" s="246"/>
      <c r="G42" s="246"/>
      <c r="H42" s="246"/>
      <c r="I42" s="247">
        <f>'Budget détaillé'!I42</f>
        <v>2100</v>
      </c>
      <c r="J42" s="163">
        <f>'Budget détaillé'!J42</f>
        <v>0</v>
      </c>
      <c r="K42" s="248">
        <f>'Budget détaillé'!K42</f>
        <v>2100</v>
      </c>
      <c r="L42" s="197"/>
      <c r="M42" s="166"/>
      <c r="N42" s="249"/>
      <c r="O42" s="166"/>
      <c r="P42" s="171">
        <f t="shared" si="23"/>
        <v>0</v>
      </c>
      <c r="Q42" s="243"/>
      <c r="R42" s="244"/>
      <c r="S42" s="70"/>
    </row>
    <row r="43" spans="2:22" s="118" customFormat="1" ht="16.899999999999999" customHeight="1" outlineLevel="1">
      <c r="B43" s="94" t="s">
        <v>212</v>
      </c>
      <c r="C43" s="245" t="s">
        <v>213</v>
      </c>
      <c r="D43" s="246"/>
      <c r="E43" s="246"/>
      <c r="F43" s="246"/>
      <c r="G43" s="246"/>
      <c r="H43" s="246"/>
      <c r="I43" s="247">
        <f>'Budget détaillé'!I43</f>
        <v>0</v>
      </c>
      <c r="J43" s="163">
        <f>'Budget détaillé'!J43</f>
        <v>0</v>
      </c>
      <c r="K43" s="248">
        <f>'Budget détaillé'!K43</f>
        <v>0</v>
      </c>
      <c r="L43" s="197"/>
      <c r="M43" s="166"/>
      <c r="N43" s="249"/>
      <c r="O43" s="166"/>
      <c r="P43" s="171">
        <f t="shared" si="23"/>
        <v>0</v>
      </c>
      <c r="Q43" s="243"/>
      <c r="R43" s="244"/>
      <c r="S43" s="70"/>
    </row>
    <row r="44" spans="2:22" s="118" customFormat="1" ht="16.899999999999999" customHeight="1" outlineLevel="1" thickBot="1">
      <c r="B44" s="250" t="s">
        <v>214</v>
      </c>
      <c r="C44" s="251" t="s">
        <v>215</v>
      </c>
      <c r="D44" s="252"/>
      <c r="E44" s="252"/>
      <c r="F44" s="252"/>
      <c r="G44" s="252"/>
      <c r="H44" s="253"/>
      <c r="I44" s="254">
        <f>'Budget détaillé'!I44</f>
        <v>500</v>
      </c>
      <c r="J44" s="255">
        <f>'Budget détaillé'!J44</f>
        <v>354.16666666666669</v>
      </c>
      <c r="K44" s="256">
        <f>'Budget détaillé'!K44</f>
        <v>145.83333333333331</v>
      </c>
      <c r="L44" s="257"/>
      <c r="M44" s="258"/>
      <c r="N44" s="259"/>
      <c r="O44" s="258"/>
      <c r="P44" s="260">
        <f t="shared" si="23"/>
        <v>0</v>
      </c>
      <c r="Q44" s="243"/>
      <c r="R44" s="244"/>
      <c r="S44" s="70"/>
    </row>
    <row r="45" spans="2:22" s="118" customFormat="1" ht="24.6" customHeight="1" outlineLevel="1" thickBot="1">
      <c r="B45" s="261"/>
      <c r="C45" s="262"/>
      <c r="E45" s="263"/>
      <c r="F45" s="263"/>
      <c r="G45" s="263"/>
      <c r="H45" s="71" t="s">
        <v>216</v>
      </c>
      <c r="I45" s="264">
        <f>IF(E7=0,0,I35/$E$7)</f>
        <v>691.66666666666663</v>
      </c>
      <c r="J45" s="264">
        <f>IF(E7-E8=0,0,J35/($E$7-$E$8))</f>
        <v>604.16666666666663</v>
      </c>
      <c r="K45" s="224">
        <f>IF($E$8=0,0,K35/$E$8)</f>
        <v>904.16666666666674</v>
      </c>
      <c r="L45" s="212"/>
      <c r="M45" s="212"/>
      <c r="N45" s="212"/>
      <c r="O45" s="212"/>
      <c r="P45" s="212"/>
      <c r="Q45" s="243"/>
      <c r="R45" s="244"/>
      <c r="S45" s="70"/>
      <c r="U45" s="70"/>
      <c r="V45" s="70"/>
    </row>
    <row r="46" spans="2:22" s="70" customFormat="1" ht="21.6" customHeight="1" thickBot="1">
      <c r="B46" s="140" t="s">
        <v>217</v>
      </c>
      <c r="C46" s="141"/>
      <c r="D46" s="142"/>
      <c r="E46" s="142"/>
      <c r="F46" s="142"/>
      <c r="G46" s="142"/>
      <c r="H46" s="265"/>
      <c r="I46" s="266">
        <f t="shared" ref="I46:P46" si="24">I35+I32+I20+I27</f>
        <v>33235.970800000003</v>
      </c>
      <c r="J46" s="266">
        <f t="shared" si="24"/>
        <v>20559.538483333334</v>
      </c>
      <c r="K46" s="267">
        <f t="shared" si="24"/>
        <v>12676.432316666667</v>
      </c>
      <c r="L46" s="266">
        <f t="shared" si="24"/>
        <v>0</v>
      </c>
      <c r="M46" s="266">
        <f t="shared" si="24"/>
        <v>0</v>
      </c>
      <c r="N46" s="266">
        <f t="shared" si="24"/>
        <v>0</v>
      </c>
      <c r="O46" s="266">
        <f t="shared" si="24"/>
        <v>0</v>
      </c>
      <c r="P46" s="268">
        <f t="shared" si="24"/>
        <v>0</v>
      </c>
      <c r="Q46" s="269">
        <f>IF($K$72=0,0,K46/$K$72)</f>
        <v>0.26422995970123331</v>
      </c>
      <c r="R46" s="150" t="s">
        <v>164</v>
      </c>
      <c r="S46" s="270"/>
      <c r="U46" s="67"/>
      <c r="V46" s="118"/>
    </row>
    <row r="47" spans="2:22" s="118" customFormat="1" ht="21" customHeight="1" thickBot="1">
      <c r="B47" s="271"/>
      <c r="C47" s="272"/>
      <c r="D47" s="272"/>
      <c r="E47" s="273"/>
      <c r="F47" s="273"/>
      <c r="G47" s="273"/>
      <c r="H47" s="274" t="s">
        <v>218</v>
      </c>
      <c r="I47" s="222">
        <f>IF(E7=0,0,I46/E7)</f>
        <v>1384.8321166666667</v>
      </c>
      <c r="J47" s="264">
        <f>IF((E7-E8)=0,0,J46/(E7-E8))</f>
        <v>1209.3846166666667</v>
      </c>
      <c r="K47" s="275">
        <f>IF(E8=0,0,K46/E8)</f>
        <v>1810.9189023809524</v>
      </c>
      <c r="L47" s="212"/>
      <c r="M47" s="212"/>
      <c r="N47" s="212"/>
      <c r="O47" s="212"/>
      <c r="P47" s="212"/>
      <c r="Q47" s="276"/>
      <c r="R47" s="244"/>
      <c r="S47" s="70"/>
      <c r="T47" s="117"/>
      <c r="U47" s="67"/>
    </row>
    <row r="48" spans="2:22" s="118" customFormat="1" ht="12" customHeight="1" thickBot="1">
      <c r="B48" s="261"/>
      <c r="E48" s="263"/>
      <c r="F48" s="263"/>
      <c r="G48" s="263"/>
      <c r="H48" s="71"/>
      <c r="I48" s="222"/>
      <c r="J48" s="222"/>
      <c r="K48" s="277"/>
      <c r="L48" s="212"/>
      <c r="M48" s="212"/>
      <c r="N48" s="212"/>
      <c r="O48" s="212"/>
      <c r="P48" s="212"/>
      <c r="Q48" s="276"/>
      <c r="R48" s="244"/>
      <c r="S48" s="70"/>
      <c r="T48" s="117"/>
      <c r="U48" s="66"/>
      <c r="V48" s="66"/>
    </row>
    <row r="49" spans="1:22" s="66" customFormat="1" ht="55.9" thickBot="1">
      <c r="B49" s="278" t="s">
        <v>219</v>
      </c>
      <c r="C49" s="279" t="s">
        <v>220</v>
      </c>
      <c r="D49" s="280"/>
      <c r="E49" s="280"/>
      <c r="F49" s="280"/>
      <c r="G49" s="280"/>
      <c r="H49" s="132" t="s">
        <v>221</v>
      </c>
      <c r="I49" s="131" t="s">
        <v>156</v>
      </c>
      <c r="J49" s="132" t="s">
        <v>157</v>
      </c>
      <c r="K49" s="133" t="s">
        <v>222</v>
      </c>
      <c r="L49" s="281" t="str">
        <f>L13</f>
        <v>Lyon 2</v>
      </c>
      <c r="M49" s="132" t="str">
        <f>M13</f>
        <v>Partenaire 1</v>
      </c>
      <c r="N49" s="132" t="str">
        <f>N13</f>
        <v>Partenaire 2</v>
      </c>
      <c r="O49" s="132" t="str">
        <f>O13</f>
        <v>Partenaire 3</v>
      </c>
      <c r="P49" s="137" t="s">
        <v>0</v>
      </c>
      <c r="Q49" s="282"/>
      <c r="R49" s="139"/>
      <c r="U49" s="70"/>
      <c r="V49" s="70"/>
    </row>
    <row r="50" spans="1:22" s="70" customFormat="1" ht="19.899999999999999" customHeight="1" thickBot="1">
      <c r="B50" s="140" t="s">
        <v>223</v>
      </c>
      <c r="C50" s="141"/>
      <c r="D50" s="142"/>
      <c r="E50" s="142"/>
      <c r="F50" s="142"/>
      <c r="G50" s="142"/>
      <c r="H50" s="265"/>
      <c r="I50" s="145">
        <f>SUM(I51:I54)</f>
        <v>23400</v>
      </c>
      <c r="J50" s="146">
        <f>SUM(J51:J54)</f>
        <v>15028</v>
      </c>
      <c r="K50" s="147">
        <f>SUM(K51:K54)</f>
        <v>8372</v>
      </c>
      <c r="L50" s="145">
        <f t="shared" ref="L50:P50" si="25">SUM(L51:L54)</f>
        <v>0</v>
      </c>
      <c r="M50" s="144">
        <f t="shared" si="25"/>
        <v>0</v>
      </c>
      <c r="N50" s="144">
        <f t="shared" si="25"/>
        <v>0</v>
      </c>
      <c r="O50" s="145">
        <f t="shared" si="25"/>
        <v>0</v>
      </c>
      <c r="P50" s="147">
        <f t="shared" si="25"/>
        <v>0</v>
      </c>
      <c r="Q50" s="180"/>
      <c r="R50" s="283"/>
    </row>
    <row r="51" spans="1:22" s="70" customFormat="1" ht="16.899999999999999" customHeight="1" outlineLevel="2">
      <c r="B51" s="284" t="s">
        <v>224</v>
      </c>
      <c r="C51" s="285" t="s">
        <v>225</v>
      </c>
      <c r="D51" s="286"/>
      <c r="E51" s="286"/>
      <c r="F51" s="286"/>
      <c r="G51" s="287"/>
      <c r="H51" s="163">
        <f>'Budget détaillé'!H51</f>
        <v>312</v>
      </c>
      <c r="I51" s="163">
        <f>'Budget détaillé'!I51</f>
        <v>2184</v>
      </c>
      <c r="J51" s="164">
        <f>'Budget détaillé'!J51</f>
        <v>0</v>
      </c>
      <c r="K51" s="165">
        <f>'Budget détaillé'!K51</f>
        <v>2184</v>
      </c>
      <c r="L51" s="288"/>
      <c r="M51" s="289"/>
      <c r="N51" s="289"/>
      <c r="O51" s="290"/>
      <c r="P51" s="167">
        <f>SUM(L51:O51)</f>
        <v>0</v>
      </c>
      <c r="Q51" s="180"/>
      <c r="R51" s="244"/>
      <c r="U51" s="118"/>
      <c r="V51" s="118"/>
    </row>
    <row r="52" spans="1:22" s="118" customFormat="1" ht="18.75" customHeight="1" outlineLevel="2">
      <c r="B52" s="284" t="s">
        <v>226</v>
      </c>
      <c r="C52" s="291" t="s">
        <v>227</v>
      </c>
      <c r="D52" s="292"/>
      <c r="E52" s="292"/>
      <c r="F52" s="292"/>
      <c r="G52" s="293"/>
      <c r="H52" s="163">
        <f>'Budget détaillé'!H52</f>
        <v>708</v>
      </c>
      <c r="I52" s="163">
        <f>'Budget détaillé'!I52</f>
        <v>16992</v>
      </c>
      <c r="J52" s="164">
        <f>'Budget détaillé'!J52</f>
        <v>12036</v>
      </c>
      <c r="K52" s="165">
        <f>'Budget détaillé'!K52</f>
        <v>4956</v>
      </c>
      <c r="L52" s="288"/>
      <c r="M52" s="289"/>
      <c r="N52" s="289"/>
      <c r="O52" s="76"/>
      <c r="P52" s="171">
        <f>SUM(L52:O52)</f>
        <v>0</v>
      </c>
      <c r="Q52" s="122"/>
      <c r="R52" s="244"/>
      <c r="S52" s="70"/>
    </row>
    <row r="53" spans="1:22" s="118" customFormat="1" ht="18.75" customHeight="1" outlineLevel="2">
      <c r="B53" s="284" t="s">
        <v>228</v>
      </c>
      <c r="C53" s="112" t="s">
        <v>229</v>
      </c>
      <c r="D53" s="294"/>
      <c r="E53" s="294"/>
      <c r="F53" s="294"/>
      <c r="G53" s="294"/>
      <c r="H53" s="163">
        <f>'Budget détaillé'!H53</f>
        <v>90</v>
      </c>
      <c r="I53" s="163">
        <f>'Budget détaillé'!I53</f>
        <v>2160</v>
      </c>
      <c r="J53" s="164">
        <f>'Budget détaillé'!J53</f>
        <v>1530</v>
      </c>
      <c r="K53" s="165">
        <f>'Budget détaillé'!K53</f>
        <v>630</v>
      </c>
      <c r="L53" s="288"/>
      <c r="M53" s="289"/>
      <c r="N53" s="289"/>
      <c r="O53" s="76"/>
      <c r="P53" s="171">
        <f>SUM(L53:O53)</f>
        <v>0</v>
      </c>
      <c r="Q53" s="122"/>
      <c r="R53" s="244"/>
      <c r="S53" s="70"/>
    </row>
    <row r="54" spans="1:22" s="118" customFormat="1" ht="18.75" customHeight="1" outlineLevel="2" thickBot="1">
      <c r="B54" s="284" t="s">
        <v>230</v>
      </c>
      <c r="C54" s="112" t="s">
        <v>231</v>
      </c>
      <c r="D54" s="294"/>
      <c r="E54" s="294"/>
      <c r="F54" s="294"/>
      <c r="G54" s="294"/>
      <c r="H54" s="163">
        <f>'Budget détaillé'!H54</f>
        <v>86</v>
      </c>
      <c r="I54" s="163">
        <f>'Budget détaillé'!I54</f>
        <v>2064</v>
      </c>
      <c r="J54" s="164">
        <f>'Budget détaillé'!J54</f>
        <v>1462</v>
      </c>
      <c r="K54" s="165">
        <f>'Budget détaillé'!K54</f>
        <v>602</v>
      </c>
      <c r="L54" s="288"/>
      <c r="M54" s="289"/>
      <c r="N54" s="289"/>
      <c r="O54" s="76"/>
      <c r="P54" s="171">
        <f>SUM(L54:O54)</f>
        <v>0</v>
      </c>
      <c r="Q54" s="122"/>
      <c r="R54" s="244"/>
      <c r="S54" s="70"/>
      <c r="U54" s="70"/>
      <c r="V54" s="70"/>
    </row>
    <row r="55" spans="1:22" s="70" customFormat="1" ht="19.149999999999999" customHeight="1" thickBot="1">
      <c r="B55" s="140" t="s">
        <v>232</v>
      </c>
      <c r="C55" s="141"/>
      <c r="D55" s="142"/>
      <c r="E55" s="142"/>
      <c r="F55" s="142"/>
      <c r="G55" s="142"/>
      <c r="H55" s="265"/>
      <c r="I55" s="145">
        <f>SUM(I56:I58)</f>
        <v>23136</v>
      </c>
      <c r="J55" s="146">
        <f>SUM(J56:J58)</f>
        <v>16388</v>
      </c>
      <c r="K55" s="147">
        <f>SUM(K56:K58)</f>
        <v>6748</v>
      </c>
      <c r="L55" s="145">
        <f t="shared" ref="L55:P55" si="26">SUM(L56:L58)</f>
        <v>0</v>
      </c>
      <c r="M55" s="144">
        <f t="shared" si="26"/>
        <v>0</v>
      </c>
      <c r="N55" s="144">
        <f t="shared" si="26"/>
        <v>0</v>
      </c>
      <c r="O55" s="145">
        <f t="shared" si="26"/>
        <v>0</v>
      </c>
      <c r="P55" s="147">
        <f t="shared" si="26"/>
        <v>0</v>
      </c>
      <c r="Q55" s="295"/>
      <c r="R55" s="244"/>
    </row>
    <row r="56" spans="1:22" s="70" customFormat="1" ht="16.899999999999999" customHeight="1" outlineLevel="1">
      <c r="B56" s="94" t="s">
        <v>233</v>
      </c>
      <c r="C56" s="245" t="s">
        <v>234</v>
      </c>
      <c r="D56" s="246"/>
      <c r="E56" s="246"/>
      <c r="F56" s="246"/>
      <c r="G56" s="246"/>
      <c r="H56" s="163">
        <f>'Budget détaillé'!H56</f>
        <v>222</v>
      </c>
      <c r="I56" s="163">
        <f>'Budget détaillé'!I56</f>
        <v>5328</v>
      </c>
      <c r="J56" s="164">
        <f>'Budget détaillé'!J56</f>
        <v>3774</v>
      </c>
      <c r="K56" s="165">
        <f>'Budget détaillé'!K56</f>
        <v>1554</v>
      </c>
      <c r="L56" s="288"/>
      <c r="M56" s="289"/>
      <c r="N56" s="289"/>
      <c r="O56" s="76"/>
      <c r="P56" s="171">
        <f>SUM(L56:O56)</f>
        <v>0</v>
      </c>
      <c r="Q56" s="122"/>
      <c r="R56" s="296"/>
    </row>
    <row r="57" spans="1:22" s="70" customFormat="1" ht="16.899999999999999" customHeight="1" outlineLevel="1">
      <c r="B57" s="94" t="s">
        <v>235</v>
      </c>
      <c r="C57" s="245" t="s">
        <v>236</v>
      </c>
      <c r="D57" s="246"/>
      <c r="E57" s="246"/>
      <c r="F57" s="246"/>
      <c r="G57" s="246"/>
      <c r="H57" s="163">
        <f>'Budget détaillé'!H57</f>
        <v>550</v>
      </c>
      <c r="I57" s="163">
        <f>'Budget détaillé'!I57</f>
        <v>13200</v>
      </c>
      <c r="J57" s="164">
        <f>'Budget détaillé'!J57</f>
        <v>9350</v>
      </c>
      <c r="K57" s="165">
        <f>'Budget détaillé'!K57</f>
        <v>3850</v>
      </c>
      <c r="L57" s="288"/>
      <c r="M57" s="289"/>
      <c r="N57" s="289"/>
      <c r="O57" s="76"/>
      <c r="P57" s="171">
        <f>SUM(L57:O57)</f>
        <v>0</v>
      </c>
      <c r="Q57" s="122"/>
      <c r="R57" s="244"/>
    </row>
    <row r="58" spans="1:22" s="70" customFormat="1" ht="16.899999999999999" customHeight="1" outlineLevel="1" thickBot="1">
      <c r="B58" s="94" t="s">
        <v>237</v>
      </c>
      <c r="C58" s="245" t="s">
        <v>238</v>
      </c>
      <c r="D58" s="246"/>
      <c r="E58" s="246"/>
      <c r="F58" s="246"/>
      <c r="G58" s="246"/>
      <c r="H58" s="163">
        <f>'Budget détaillé'!H58</f>
        <v>192</v>
      </c>
      <c r="I58" s="163">
        <f>'Budget détaillé'!I58</f>
        <v>4608</v>
      </c>
      <c r="J58" s="164">
        <f>'Budget détaillé'!J58</f>
        <v>3264</v>
      </c>
      <c r="K58" s="165">
        <f>'Budget détaillé'!K58</f>
        <v>1344</v>
      </c>
      <c r="L58" s="288"/>
      <c r="M58" s="289"/>
      <c r="N58" s="289"/>
      <c r="O58" s="76"/>
      <c r="P58" s="171">
        <f>SUM(L58:O58)</f>
        <v>0</v>
      </c>
      <c r="Q58" s="122"/>
      <c r="R58" s="244"/>
    </row>
    <row r="59" spans="1:22" s="70" customFormat="1" ht="21.6" customHeight="1" thickBot="1">
      <c r="B59" s="140" t="s">
        <v>239</v>
      </c>
      <c r="C59" s="141"/>
      <c r="D59" s="142"/>
      <c r="E59" s="142"/>
      <c r="F59" s="142"/>
      <c r="G59" s="142"/>
      <c r="H59" s="265"/>
      <c r="I59" s="145">
        <f>I50+I55</f>
        <v>46536</v>
      </c>
      <c r="J59" s="146">
        <f>J50+J55</f>
        <v>31416</v>
      </c>
      <c r="K59" s="147">
        <f>K50+K55</f>
        <v>15120</v>
      </c>
      <c r="L59" s="145">
        <f t="shared" ref="L59:P59" si="27">L50+L55</f>
        <v>0</v>
      </c>
      <c r="M59" s="144">
        <f t="shared" si="27"/>
        <v>0</v>
      </c>
      <c r="N59" s="144">
        <f t="shared" si="27"/>
        <v>0</v>
      </c>
      <c r="O59" s="145">
        <f t="shared" si="27"/>
        <v>0</v>
      </c>
      <c r="P59" s="147">
        <f t="shared" si="27"/>
        <v>0</v>
      </c>
      <c r="Q59" s="149">
        <f>IF($K$72=0,0,K59/$K$72)</f>
        <v>0.31516414799374676</v>
      </c>
      <c r="R59" s="297" t="s">
        <v>164</v>
      </c>
      <c r="S59" s="298">
        <f>IF((K59+K46)=0,0,K59/(K59+K46))</f>
        <v>0.54395469993226753</v>
      </c>
      <c r="T59" s="150" t="s">
        <v>240</v>
      </c>
      <c r="U59" s="67"/>
    </row>
    <row r="60" spans="1:22" ht="21" customHeight="1" thickBot="1">
      <c r="A60" s="70"/>
      <c r="B60" s="271"/>
      <c r="C60" s="299"/>
      <c r="D60" s="299"/>
      <c r="E60" s="273"/>
      <c r="F60" s="273"/>
      <c r="G60" s="273"/>
      <c r="H60" s="71" t="s">
        <v>241</v>
      </c>
      <c r="I60" s="264">
        <f>IF(E7=0,0,I59/E7)</f>
        <v>1939</v>
      </c>
      <c r="J60" s="264">
        <f>IF((E7-E8)=0,0,J59/(E7-E8))</f>
        <v>1848</v>
      </c>
      <c r="K60" s="275">
        <f>IF(E8=0,0,K59/E8)</f>
        <v>2160</v>
      </c>
      <c r="L60" s="212"/>
      <c r="M60" s="212"/>
      <c r="N60" s="212"/>
      <c r="O60" s="212"/>
      <c r="P60" s="212"/>
      <c r="Q60" s="70"/>
      <c r="R60" s="70"/>
      <c r="S60" s="70"/>
      <c r="T60" s="117"/>
      <c r="U60" s="70"/>
      <c r="V60" s="70"/>
    </row>
    <row r="61" spans="1:22" s="70" customFormat="1" ht="13.15" customHeight="1" thickBot="1">
      <c r="B61" s="300"/>
      <c r="C61" s="301"/>
      <c r="D61" s="301"/>
      <c r="E61" s="301"/>
      <c r="F61" s="301"/>
      <c r="G61" s="301"/>
      <c r="H61" s="301"/>
      <c r="I61" s="302"/>
      <c r="J61" s="302"/>
      <c r="K61" s="303"/>
      <c r="L61" s="304"/>
      <c r="M61" s="304"/>
      <c r="N61" s="304"/>
      <c r="O61" s="304"/>
      <c r="P61" s="304"/>
      <c r="Q61" s="305"/>
      <c r="R61" s="66"/>
    </row>
    <row r="62" spans="1:22" s="70" customFormat="1" ht="24.6" customHeight="1" thickBot="1">
      <c r="B62" s="306" t="s">
        <v>242</v>
      </c>
      <c r="C62" s="306"/>
      <c r="D62" s="307"/>
      <c r="E62" s="308"/>
      <c r="F62" s="307"/>
      <c r="G62" s="309"/>
      <c r="H62" s="310"/>
      <c r="I62" s="311">
        <f>I59+I46</f>
        <v>79771.97080000001</v>
      </c>
      <c r="J62" s="311">
        <f>J59+J46</f>
        <v>51975.538483333337</v>
      </c>
      <c r="K62" s="312">
        <f>K59+K46</f>
        <v>27796.432316666665</v>
      </c>
      <c r="L62" s="311">
        <f t="shared" ref="L62:O62" si="28">L59+L46</f>
        <v>0</v>
      </c>
      <c r="M62" s="311">
        <f t="shared" si="28"/>
        <v>0</v>
      </c>
      <c r="N62" s="311">
        <f t="shared" si="28"/>
        <v>0</v>
      </c>
      <c r="O62" s="311">
        <f t="shared" si="28"/>
        <v>0</v>
      </c>
      <c r="P62" s="312">
        <f>P59+P46</f>
        <v>0</v>
      </c>
      <c r="Q62" s="149">
        <f>IF($K$72=0,0,K62/$K$72)</f>
        <v>0.57939410769498001</v>
      </c>
      <c r="R62" s="150" t="s">
        <v>164</v>
      </c>
      <c r="U62" s="118"/>
      <c r="V62" s="118"/>
    </row>
    <row r="63" spans="1:22" s="118" customFormat="1" ht="18.75" customHeight="1">
      <c r="B63" s="205"/>
      <c r="C63" s="286"/>
      <c r="D63" s="313"/>
      <c r="E63" s="313"/>
      <c r="F63" s="313"/>
      <c r="G63" s="314"/>
      <c r="H63" s="314" t="s">
        <v>243</v>
      </c>
      <c r="I63" s="315">
        <f>IF(E7=0,0,I62/$E$7)</f>
        <v>3323.8321166666669</v>
      </c>
      <c r="J63" s="316">
        <f>IF(($E$7-$E$8)=0,0,J62/($E$7-$E$8))</f>
        <v>3057.3846166666667</v>
      </c>
      <c r="K63" s="317">
        <f>IF(E8=0,0,K62/$E$8)</f>
        <v>3970.9189023809522</v>
      </c>
      <c r="L63" s="318"/>
      <c r="M63" s="318"/>
      <c r="N63" s="318"/>
      <c r="O63" s="319"/>
      <c r="P63" s="319"/>
      <c r="Q63" s="122"/>
      <c r="R63" s="244"/>
      <c r="S63" s="70"/>
    </row>
    <row r="64" spans="1:22" s="118" customFormat="1" ht="18.600000000000001" customHeight="1" thickBot="1">
      <c r="B64" s="217"/>
      <c r="C64" s="320"/>
      <c r="D64" s="321"/>
      <c r="E64" s="321"/>
      <c r="F64" s="321"/>
      <c r="G64" s="322"/>
      <c r="H64" s="322" t="s">
        <v>244</v>
      </c>
      <c r="I64" s="255">
        <f t="shared" ref="I64:P64" si="29">IF(I33=0,0,I62/I33)</f>
        <v>218.09922025371833</v>
      </c>
      <c r="J64" s="255">
        <f t="shared" si="29"/>
        <v>242.36104769454354</v>
      </c>
      <c r="K64" s="255">
        <f t="shared" si="29"/>
        <v>183.71126080874171</v>
      </c>
      <c r="L64" s="255">
        <f t="shared" si="29"/>
        <v>0</v>
      </c>
      <c r="M64" s="255">
        <f t="shared" si="29"/>
        <v>0</v>
      </c>
      <c r="N64" s="255">
        <f t="shared" si="29"/>
        <v>0</v>
      </c>
      <c r="O64" s="255">
        <f t="shared" si="29"/>
        <v>0</v>
      </c>
      <c r="P64" s="363">
        <f t="shared" si="29"/>
        <v>0</v>
      </c>
      <c r="Q64" s="364"/>
      <c r="R64" s="244"/>
      <c r="S64" s="70"/>
      <c r="U64" s="70"/>
      <c r="V64" s="70"/>
    </row>
    <row r="65" spans="2:24" ht="14.45" thickBot="1">
      <c r="B65" s="323"/>
      <c r="C65" s="323"/>
      <c r="D65" s="323"/>
      <c r="E65" s="323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324"/>
      <c r="R65" s="66"/>
      <c r="S65" s="70"/>
      <c r="T65" s="70"/>
      <c r="U65" s="66"/>
      <c r="V65" s="70"/>
      <c r="W65" s="70"/>
      <c r="X65" s="70"/>
    </row>
    <row r="66" spans="2:24" ht="24.6" customHeight="1" thickBot="1">
      <c r="B66" s="517" t="s">
        <v>245</v>
      </c>
      <c r="C66" s="518"/>
      <c r="D66" s="518"/>
      <c r="E66" s="518"/>
      <c r="F66" s="518"/>
      <c r="G66" s="518"/>
      <c r="H66" s="518"/>
      <c r="I66" s="518"/>
      <c r="J66" s="518"/>
      <c r="K66" s="519"/>
      <c r="L66" s="123"/>
      <c r="M66" s="124"/>
      <c r="N66" s="124"/>
      <c r="O66" s="124"/>
      <c r="P66" s="125"/>
      <c r="Q66" s="66"/>
      <c r="R66" s="66"/>
      <c r="S66" s="70"/>
      <c r="T66" s="66"/>
      <c r="U66" s="70"/>
      <c r="V66" s="70"/>
      <c r="W66" s="70"/>
      <c r="X66" s="70"/>
    </row>
    <row r="67" spans="2:24" ht="7.5" customHeight="1" thickBot="1">
      <c r="B67" s="325"/>
      <c r="C67" s="70"/>
      <c r="D67" s="70"/>
      <c r="E67" s="70"/>
      <c r="F67" s="70"/>
      <c r="G67" s="70"/>
      <c r="H67" s="107"/>
      <c r="I67" s="326"/>
      <c r="J67" s="326"/>
      <c r="K67" s="327"/>
      <c r="L67" s="328"/>
      <c r="M67" s="328"/>
      <c r="N67" s="328"/>
      <c r="O67" s="328"/>
      <c r="P67" s="328"/>
      <c r="Q67" s="68"/>
      <c r="R67" s="66"/>
      <c r="S67" s="70"/>
      <c r="T67" s="70"/>
      <c r="U67" s="66"/>
      <c r="V67" s="66"/>
      <c r="W67" s="70"/>
      <c r="X67" s="70"/>
    </row>
    <row r="68" spans="2:24" s="66" customFormat="1" ht="55.9" thickBot="1">
      <c r="B68" s="278" t="s">
        <v>246</v>
      </c>
      <c r="C68" s="279" t="s">
        <v>247</v>
      </c>
      <c r="D68" s="280"/>
      <c r="E68" s="280"/>
      <c r="F68" s="280"/>
      <c r="G68" s="280"/>
      <c r="H68" s="329"/>
      <c r="I68" s="330" t="s">
        <v>156</v>
      </c>
      <c r="J68" s="132" t="s">
        <v>157</v>
      </c>
      <c r="K68" s="133" t="s">
        <v>222</v>
      </c>
      <c r="L68" s="281" t="s">
        <v>159</v>
      </c>
      <c r="M68" s="131" t="s">
        <v>160</v>
      </c>
      <c r="N68" s="131" t="s">
        <v>161</v>
      </c>
      <c r="O68" s="331" t="s">
        <v>162</v>
      </c>
      <c r="P68" s="332" t="s">
        <v>0</v>
      </c>
      <c r="Q68" s="282"/>
      <c r="R68" s="139"/>
      <c r="U68" s="70"/>
      <c r="V68" s="70"/>
    </row>
    <row r="69" spans="2:24" ht="24" customHeight="1">
      <c r="B69" s="233" t="s">
        <v>248</v>
      </c>
      <c r="C69" s="285" t="s">
        <v>249</v>
      </c>
      <c r="D69" s="333"/>
      <c r="E69" s="333"/>
      <c r="F69" s="333"/>
      <c r="G69" s="333"/>
      <c r="H69" s="334"/>
      <c r="I69" s="335">
        <f>J69+K69</f>
        <v>52106</v>
      </c>
      <c r="J69" s="335">
        <f>'Recettes et simulat'!G16</f>
        <v>4131</v>
      </c>
      <c r="K69" s="336">
        <f>'Recettes et simulat'!J28</f>
        <v>47975</v>
      </c>
      <c r="L69" s="239"/>
      <c r="M69" s="240"/>
      <c r="N69" s="337"/>
      <c r="O69" s="337"/>
      <c r="P69" s="242">
        <f>SUM(L69:O69)</f>
        <v>0</v>
      </c>
      <c r="Q69" s="66"/>
      <c r="R69" s="66"/>
      <c r="S69" s="70"/>
      <c r="T69" s="70"/>
      <c r="U69" s="70"/>
      <c r="V69" s="70"/>
      <c r="W69" s="70"/>
      <c r="X69" s="66"/>
    </row>
    <row r="70" spans="2:24" ht="27" customHeight="1" thickBot="1">
      <c r="B70" s="250" t="s">
        <v>250</v>
      </c>
      <c r="C70" s="251" t="s">
        <v>251</v>
      </c>
      <c r="D70" s="338"/>
      <c r="E70" s="338"/>
      <c r="F70" s="338"/>
      <c r="G70" s="338"/>
      <c r="H70" s="339"/>
      <c r="I70" s="340">
        <f>J70+K70</f>
        <v>0</v>
      </c>
      <c r="J70" s="341"/>
      <c r="K70" s="342">
        <f>'Recettes et simulat'!F39</f>
        <v>0</v>
      </c>
      <c r="L70" s="257"/>
      <c r="M70" s="258"/>
      <c r="N70" s="258"/>
      <c r="O70" s="343"/>
      <c r="P70" s="260">
        <f>SUM(L70:O70)</f>
        <v>0</v>
      </c>
      <c r="Q70" s="66"/>
      <c r="R70" s="66"/>
      <c r="S70" s="70"/>
      <c r="T70" s="70"/>
      <c r="U70" s="70"/>
      <c r="V70" s="70"/>
      <c r="W70" s="70"/>
      <c r="X70" s="66"/>
    </row>
    <row r="71" spans="2:24" ht="11.45" customHeight="1" thickBot="1">
      <c r="B71" s="344"/>
      <c r="C71" s="345"/>
      <c r="D71" s="346"/>
      <c r="E71" s="345"/>
      <c r="F71" s="346"/>
      <c r="G71" s="346"/>
      <c r="H71" s="346"/>
      <c r="I71" s="347"/>
      <c r="J71" s="347"/>
      <c r="K71" s="348"/>
      <c r="L71" s="347"/>
      <c r="M71" s="347"/>
      <c r="N71" s="347"/>
      <c r="O71" s="347"/>
      <c r="P71" s="347"/>
      <c r="Q71" s="349"/>
      <c r="R71" s="350"/>
      <c r="S71" s="351"/>
      <c r="T71" s="70"/>
      <c r="U71" s="70"/>
      <c r="V71" s="70"/>
      <c r="W71" s="70"/>
      <c r="X71" s="66"/>
    </row>
    <row r="72" spans="2:24" s="70" customFormat="1" ht="24.6" customHeight="1" thickBot="1">
      <c r="B72" s="306" t="s">
        <v>252</v>
      </c>
      <c r="C72" s="306"/>
      <c r="D72" s="307"/>
      <c r="E72" s="308"/>
      <c r="F72" s="307"/>
      <c r="G72" s="309"/>
      <c r="H72" s="310"/>
      <c r="I72" s="311">
        <f>I69+I70</f>
        <v>52106</v>
      </c>
      <c r="J72" s="311">
        <f>J69+J70</f>
        <v>4131</v>
      </c>
      <c r="K72" s="312">
        <f>K69+K70</f>
        <v>47975</v>
      </c>
      <c r="L72" s="311">
        <f t="shared" ref="L72:O72" si="30">L69+L70</f>
        <v>0</v>
      </c>
      <c r="M72" s="311">
        <f t="shared" si="30"/>
        <v>0</v>
      </c>
      <c r="N72" s="311">
        <f t="shared" si="30"/>
        <v>0</v>
      </c>
      <c r="O72" s="311">
        <f t="shared" si="30"/>
        <v>0</v>
      </c>
      <c r="P72" s="312">
        <f>P69+P70</f>
        <v>0</v>
      </c>
      <c r="U72" s="118"/>
      <c r="V72" s="118"/>
      <c r="X72" s="66"/>
    </row>
    <row r="73" spans="2:24" s="118" customFormat="1" ht="18" customHeight="1" thickBot="1">
      <c r="B73" s="271"/>
      <c r="C73" s="299"/>
      <c r="D73" s="352"/>
      <c r="E73" s="352"/>
      <c r="F73" s="352"/>
      <c r="G73" s="353"/>
      <c r="H73" s="353" t="s">
        <v>253</v>
      </c>
      <c r="I73" s="354"/>
      <c r="J73" s="354"/>
      <c r="K73" s="355">
        <f>IF(E8=0,0,K72/$E$8)</f>
        <v>6853.5714285714284</v>
      </c>
      <c r="L73" s="318"/>
      <c r="M73" s="318"/>
      <c r="N73" s="318"/>
      <c r="O73" s="319"/>
      <c r="P73" s="319"/>
      <c r="Q73" s="122"/>
      <c r="R73" s="244"/>
      <c r="S73" s="70"/>
    </row>
    <row r="74" spans="2:24" s="70" customFormat="1" ht="14.45" thickBot="1">
      <c r="C74" s="323"/>
      <c r="D74" s="323"/>
      <c r="E74" s="323"/>
      <c r="F74" s="323"/>
      <c r="G74" s="323"/>
      <c r="H74" s="323"/>
      <c r="I74" s="356"/>
      <c r="J74" s="356"/>
      <c r="K74" s="356"/>
      <c r="L74" s="356"/>
      <c r="M74" s="356"/>
      <c r="N74" s="356"/>
      <c r="O74" s="356"/>
      <c r="P74" s="356"/>
      <c r="Q74" s="67"/>
      <c r="R74" s="66"/>
    </row>
    <row r="75" spans="2:24" s="70" customFormat="1" ht="24.6" customHeight="1" thickBot="1">
      <c r="B75" s="306" t="s">
        <v>254</v>
      </c>
      <c r="C75" s="306"/>
      <c r="D75" s="307"/>
      <c r="E75" s="308"/>
      <c r="F75" s="307"/>
      <c r="G75" s="309"/>
      <c r="H75" s="310"/>
      <c r="I75" s="311">
        <f t="shared" ref="I75:P75" si="31">I72-I62</f>
        <v>-27665.97080000001</v>
      </c>
      <c r="J75" s="311">
        <f t="shared" si="31"/>
        <v>-47844.538483333337</v>
      </c>
      <c r="K75" s="312">
        <f t="shared" si="31"/>
        <v>20178.567683333335</v>
      </c>
      <c r="L75" s="311">
        <f t="shared" si="31"/>
        <v>0</v>
      </c>
      <c r="M75" s="311">
        <f t="shared" si="31"/>
        <v>0</v>
      </c>
      <c r="N75" s="311">
        <f t="shared" si="31"/>
        <v>0</v>
      </c>
      <c r="O75" s="311">
        <f t="shared" si="31"/>
        <v>0</v>
      </c>
      <c r="P75" s="312">
        <f t="shared" si="31"/>
        <v>0</v>
      </c>
      <c r="Q75" s="149">
        <f>IF($K$72=0,0,K75/$K$72)</f>
        <v>0.42060589230501999</v>
      </c>
      <c r="R75" s="150" t="s">
        <v>164</v>
      </c>
      <c r="U75" s="118"/>
      <c r="V75" s="118"/>
      <c r="X75" s="66"/>
    </row>
    <row r="76" spans="2:24" ht="13.9">
      <c r="B76" s="70"/>
      <c r="C76" s="70"/>
      <c r="D76" s="70"/>
      <c r="E76" s="70"/>
      <c r="F76" s="70"/>
      <c r="G76" s="70"/>
      <c r="H76" s="107"/>
      <c r="I76" s="108"/>
      <c r="J76" s="109"/>
      <c r="K76" s="107"/>
      <c r="L76" s="107"/>
      <c r="M76" s="107"/>
      <c r="N76" s="107"/>
      <c r="O76" s="107"/>
      <c r="P76" s="107"/>
      <c r="Q76" s="66"/>
      <c r="R76" s="66"/>
      <c r="S76" s="70"/>
      <c r="T76" s="70"/>
      <c r="U76" s="70"/>
      <c r="V76" s="70"/>
      <c r="W76" s="70"/>
      <c r="X76" s="70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7:F27"/>
    <mergeCell ref="C29:F29"/>
    <mergeCell ref="C30:F30"/>
    <mergeCell ref="B32:F32"/>
    <mergeCell ref="B66:K6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:K2"/>
    <mergeCell ref="L2:P2"/>
    <mergeCell ref="D5:E5"/>
    <mergeCell ref="H5:K5"/>
    <mergeCell ref="D6:E6"/>
    <mergeCell ref="H6:K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D8CA1FD0CB9584A8A9C320169AE32EA" ma:contentTypeVersion="4" ma:contentTypeDescription="Crée un document." ma:contentTypeScope="" ma:versionID="02af6109a010d98ac1f721433b5defec">
  <xsd:schema xmlns:xsd="http://www.w3.org/2001/XMLSchema" xmlns:xs="http://www.w3.org/2001/XMLSchema" xmlns:p="http://schemas.microsoft.com/office/2006/metadata/properties" xmlns:ns2="c9aeb6e5-197f-474c-84d2-6b90aa585576" targetNamespace="http://schemas.microsoft.com/office/2006/metadata/properties" ma:root="true" ma:fieldsID="f3c8edf611e996a8825c0a62ce4a38a8" ns2:_="">
    <xsd:import namespace="c9aeb6e5-197f-474c-84d2-6b90aa585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aeb6e5-197f-474c-84d2-6b90aa5855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A306C1-478A-4E84-83CD-5B7898285888}"/>
</file>

<file path=customXml/itemProps2.xml><?xml version="1.0" encoding="utf-8"?>
<ds:datastoreItem xmlns:ds="http://schemas.openxmlformats.org/officeDocument/2006/customXml" ds:itemID="{8A98E34E-358E-443D-9A1B-BBAABD47E4EF}"/>
</file>

<file path=customXml/itemProps3.xml><?xml version="1.0" encoding="utf-8"?>
<ds:datastoreItem xmlns:ds="http://schemas.openxmlformats.org/officeDocument/2006/customXml" ds:itemID="{BD73C351-4063-4F52-AEE7-F4B861993F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R.R.A.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Aude Petignier</cp:lastModifiedBy>
  <cp:revision/>
  <dcterms:created xsi:type="dcterms:W3CDTF">2001-05-25T13:39:11Z</dcterms:created>
  <dcterms:modified xsi:type="dcterms:W3CDTF">2022-04-27T14:32:20Z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0x0101007D8CA1FD0CB9584A8A9C320169AE32EA</vt:lpwstr>
  </property>
</Properties>
</file>