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showInkAnnotation="0" codeName="ThisWorkbook" autoCompressPictures="0" defaultThemeVersion="124226"/>
  <mc:AlternateContent xmlns:mc="http://schemas.openxmlformats.org/markup-compatibility/2006">
    <mc:Choice Requires="x15">
      <x15ac:absPath xmlns:x15ac="http://schemas.microsoft.com/office/spreadsheetml/2010/11/ac" url="https://univlyon2fr-my.sharepoint.com/personal/madoumer_univ-lyon2_fr/Documents/DUsystemie/"/>
    </mc:Choice>
  </mc:AlternateContent>
  <xr:revisionPtr revIDLastSave="0" documentId="8_{5827B5BB-C954-4F0A-83DA-6FEB93D8B42D}" xr6:coauthVersionLast="47" xr6:coauthVersionMax="47" xr10:uidLastSave="{00000000-0000-0000-0000-000000000000}"/>
  <bookViews>
    <workbookView xWindow="20" yWindow="380" windowWidth="19180" windowHeight="10060" tabRatio="852" firstSheet="1" activeTab="1" xr2:uid="{00000000-000D-0000-FFFF-FFFF00000000}"/>
  </bookViews>
  <sheets>
    <sheet name="ALIRE" sheetId="52" r:id="rId1"/>
    <sheet name="Formulaire" sheetId="51" r:id="rId2"/>
    <sheet name="Enseignement" sheetId="39" r:id="rId3"/>
    <sheet name="Paramétrage" sheetId="36" state="hidden" r:id="rId4"/>
    <sheet name="calcul heures" sheetId="43" state="hidden" r:id="rId5"/>
    <sheet name="Recettes et simulat prev" sheetId="40" state="hidden" r:id="rId6"/>
    <sheet name="Recettes et simulat réel" sheetId="50" state="hidden" r:id="rId7"/>
    <sheet name="Budget détaillé prev" sheetId="41" r:id="rId8"/>
    <sheet name="Budget détaillé réel" sheetId="49" r:id="rId9"/>
    <sheet name="Excédent mobilisable prev" sheetId="47" r:id="rId10"/>
    <sheet name="Excédent mobilisable réel" sheetId="48" r:id="rId11"/>
    <sheet name="comparatif simplifié" sheetId="45" state="hidden" r:id="rId12"/>
    <sheet name="Contrôles SCFC" sheetId="44" state="hidden" r:id="rId13"/>
  </sheets>
  <definedNames>
    <definedName name="_xlnm._FilterDatabase" localSheetId="2" hidden="1">Enseignement!$A$2:$AM$133</definedName>
    <definedName name="_xlnm._FilterDatabase" localSheetId="3" hidden="1">Paramétrage!$V$4:$AC$192</definedName>
    <definedName name="BUTIUT">Paramétrage!$V$154:$V$180</definedName>
    <definedName name="composante">Paramétrage!$I$6:$I$19</definedName>
    <definedName name="diplôme">Paramétrage!$J$36:$J$42</definedName>
    <definedName name="DU">Paramétrage!$V$86:$V$130</definedName>
    <definedName name="DUASSP">Paramétrage!$V$112:$V$114</definedName>
    <definedName name="DUCIEF">Paramétrage!$V$119:$V$130</definedName>
    <definedName name="DUDROIT">Paramétrage!$V$108:$V$111</definedName>
    <definedName name="DUICOM">Paramétrage!$V$91</definedName>
    <definedName name="DUIETL">Paramétrage!$V$92:$V$96</definedName>
    <definedName name="DUIPsyL">Paramétrage!$V$100:$V$107</definedName>
    <definedName name="DUIUT">Paramétrage!$V$86</definedName>
    <definedName name="DULANGUES">Paramétrage!$V$97:$V$99</definedName>
    <definedName name="DULESLA">Paramétrage!$V$87:$V$90</definedName>
    <definedName name="DUSEG">Paramétrage!$V$118</definedName>
    <definedName name="DUTT">Paramétrage!$V$115:$V$117</definedName>
    <definedName name="FCIPsyL">Paramétrage!$V$192</definedName>
    <definedName name="Formation">Paramétrage!$V$6:$V$180</definedName>
    <definedName name="Formation_courte">Paramétrage!$V$131:$V$153</definedName>
    <definedName name="Formation_courteCIEF">Paramétrage!$V$131:$V$132</definedName>
    <definedName name="Formation_courteDROIT">Paramétrage!$V$146:$V$147</definedName>
    <definedName name="Formation_courteICOM">Paramétrage!$V$137:$V$143</definedName>
    <definedName name="Formation_courteIPsyL">Paramétrage!$V$144:$V$145</definedName>
    <definedName name="Formation_courteLANGUES">Paramétrage!$V$133:$V$136</definedName>
    <definedName name="Formation_courteLESLA">Paramétrage!$V$148:$V$153</definedName>
    <definedName name="Licence">Paramétrage!$V$6:$V$10</definedName>
    <definedName name="LicenceIPsyL">Paramétrage!$V$8:$V$9</definedName>
    <definedName name="LicenceISPEF">Paramétrage!$V$10</definedName>
    <definedName name="LicenceLANGUES">Paramétrage!$V$6</definedName>
    <definedName name="LicenceSEG">Paramétrage!$V$7</definedName>
    <definedName name="LP">Paramétrage!$V$11:$V$27</definedName>
    <definedName name="LPDROIT">Paramétrage!$V$11:$V$13</definedName>
    <definedName name="LPICOM">Paramétrage!$V$21:$V$24</definedName>
    <definedName name="LPIETL">Paramétrage!$V$14</definedName>
    <definedName name="LPISPEF">Paramétrage!$V$17</definedName>
    <definedName name="LPIUT">Paramétrage!$V$15</definedName>
    <definedName name="LPLANGUES">Paramétrage!$V$16</definedName>
    <definedName name="LPSEG">Paramétrage!$V$18:$V$20</definedName>
    <definedName name="LPTT">Paramétrage!$V$25:$V$27</definedName>
    <definedName name="Master">Paramétrage!$V$28:$V$85</definedName>
    <definedName name="MASTERASSP">Paramétrage!$V$52:$V$57</definedName>
    <definedName name="MASTERDROIT">Paramétrage!$V$58:$V$62</definedName>
    <definedName name="MASTERICOM">Paramétrage!$V$28:$V$42</definedName>
    <definedName name="MASTERIETL">Paramétrage!$V$63:$V$65</definedName>
    <definedName name="MASTERIPsyL">Paramétrage!$V$47:$V$48</definedName>
    <definedName name="MASTERISPEF">Paramétrage!$V$44:$V$46</definedName>
    <definedName name="MASTERIUT">Paramétrage!$V$82:$V$85</definedName>
    <definedName name="MASTERLANGUES">Paramétrage!$V$43</definedName>
    <definedName name="MASTERLESLA">Paramétrage!$V$49:$V$51</definedName>
    <definedName name="MASTERSEG">Paramétrage!$V$66:$V$73</definedName>
    <definedName name="MASTERTT">Paramétrage!$V$74:$V$81</definedName>
    <definedName name="VAEASSP">Paramétrage!$V$186</definedName>
    <definedName name="VAEDROIT">Paramétrage!$V$187</definedName>
    <definedName name="VAEICOM">Paramétrage!$V$181</definedName>
    <definedName name="VAEIETL">Paramétrage!$V$182</definedName>
    <definedName name="VAEIPsyL">Paramétrage!$V$185</definedName>
    <definedName name="VAEISPEF">Paramétrage!$V$183</definedName>
    <definedName name="VAEIUT">Paramétrage!$V$184</definedName>
    <definedName name="VAELANGUES">Paramétrage!$V$188</definedName>
    <definedName name="VAELESLA">Paramétrage!$V$189</definedName>
    <definedName name="VAESEG">Paramétrage!$V$190</definedName>
    <definedName name="VAETT">Paramétrage!$V$191</definedName>
    <definedName name="_xlnm.Print_Area" localSheetId="4">'calcul heures'!$A$1:$J$27</definedName>
    <definedName name="_xlnm.Print_Area" localSheetId="1">Formulaire!$A$1:$K$62</definedName>
    <definedName name="_xlnm.Print_Area" localSheetId="3">Paramétrage!$V$4:$V$181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17" i="51" l="1"/>
  <c r="G16" i="50"/>
  <c r="E10" i="51" l="1"/>
  <c r="E9" i="51" s="1"/>
  <c r="E17" i="51" s="1"/>
  <c r="G20" i="50"/>
  <c r="G20" i="40"/>
  <c r="B15" i="51" l="1"/>
  <c r="B14" i="51"/>
  <c r="Z130" i="36"/>
  <c r="Z129" i="36"/>
  <c r="Z128" i="36"/>
  <c r="Z127" i="36"/>
  <c r="Z126" i="36"/>
  <c r="Z125" i="36"/>
  <c r="Z124" i="36"/>
  <c r="Z123" i="36"/>
  <c r="Z122" i="36"/>
  <c r="Z121" i="36"/>
  <c r="Z107" i="36"/>
  <c r="Z106" i="36"/>
  <c r="Z100" i="36"/>
  <c r="Z99" i="36"/>
  <c r="Y99" i="36" l="1"/>
  <c r="I37" i="51" l="1"/>
  <c r="Y106" i="36" l="1"/>
  <c r="Y107" i="36"/>
  <c r="Y100" i="36"/>
  <c r="H7" i="48" l="1"/>
  <c r="H6" i="48"/>
  <c r="H7" i="47"/>
  <c r="H6" i="47"/>
  <c r="H7" i="49"/>
  <c r="H6" i="49"/>
  <c r="H7" i="41"/>
  <c r="H6" i="41"/>
  <c r="H7" i="50"/>
  <c r="H6" i="50"/>
  <c r="H7" i="40"/>
  <c r="H6" i="40"/>
  <c r="D6" i="50"/>
  <c r="D6" i="40"/>
  <c r="AL93" i="39" l="1"/>
  <c r="AL94" i="39"/>
  <c r="AL95" i="39"/>
  <c r="AL96" i="39"/>
  <c r="AL97" i="39"/>
  <c r="AL98" i="39"/>
  <c r="AL99" i="39"/>
  <c r="AL100" i="39"/>
  <c r="AL101" i="39"/>
  <c r="AL102" i="39"/>
  <c r="AL103" i="39"/>
  <c r="AL104" i="39"/>
  <c r="AL105" i="39"/>
  <c r="AL106" i="39"/>
  <c r="AL107" i="39"/>
  <c r="AL108" i="39"/>
  <c r="AL109" i="39"/>
  <c r="AL110" i="39"/>
  <c r="AL111" i="39"/>
  <c r="AL112" i="39"/>
  <c r="AL113" i="39"/>
  <c r="AL114" i="39"/>
  <c r="AL115" i="39"/>
  <c r="AL116" i="39"/>
  <c r="AL117" i="39"/>
  <c r="AL118" i="39"/>
  <c r="AL119" i="39"/>
  <c r="AL120" i="39"/>
  <c r="AL121" i="39"/>
  <c r="AL122" i="39"/>
  <c r="AL123" i="39"/>
  <c r="AL124" i="39"/>
  <c r="AL125" i="39"/>
  <c r="AL126" i="39"/>
  <c r="AL127" i="39"/>
  <c r="AL128" i="39"/>
  <c r="AL129" i="39"/>
  <c r="AL130" i="39"/>
  <c r="AL131" i="39"/>
  <c r="AL36" i="39"/>
  <c r="AL37" i="39"/>
  <c r="AL38" i="39"/>
  <c r="AL39" i="39"/>
  <c r="AL40" i="39"/>
  <c r="AL41" i="39"/>
  <c r="AL42" i="39"/>
  <c r="AL43" i="39"/>
  <c r="AL44" i="39"/>
  <c r="AL45" i="39"/>
  <c r="AL46" i="39"/>
  <c r="AL47" i="39"/>
  <c r="AL48" i="39"/>
  <c r="AL49" i="39"/>
  <c r="AL50" i="39"/>
  <c r="AL51" i="39"/>
  <c r="AL52" i="39"/>
  <c r="AL53" i="39"/>
  <c r="AL54" i="39"/>
  <c r="AL55" i="39"/>
  <c r="AL56" i="39"/>
  <c r="AL57" i="39"/>
  <c r="AL58" i="39"/>
  <c r="AL59" i="39"/>
  <c r="AL60" i="39"/>
  <c r="AL61" i="39"/>
  <c r="AL62" i="39"/>
  <c r="AL63" i="39"/>
  <c r="AL64" i="39"/>
  <c r="AL65" i="39"/>
  <c r="AL66" i="39"/>
  <c r="AL67" i="39"/>
  <c r="AL68" i="39"/>
  <c r="AL69" i="39"/>
  <c r="F36" i="48"/>
  <c r="F37" i="48"/>
  <c r="F36" i="47"/>
  <c r="F37" i="47"/>
  <c r="C38" i="41"/>
  <c r="E36" i="47" s="1"/>
  <c r="C39" i="41"/>
  <c r="E37" i="47" s="1"/>
  <c r="H38" i="49"/>
  <c r="H39" i="49"/>
  <c r="C38" i="49"/>
  <c r="E36" i="48" s="1"/>
  <c r="C39" i="49"/>
  <c r="E37" i="48" s="1"/>
  <c r="H37" i="49"/>
  <c r="C37" i="49"/>
  <c r="C37" i="41"/>
  <c r="I48" i="49"/>
  <c r="J48" i="49" s="1"/>
  <c r="I49" i="49"/>
  <c r="K49" i="49" s="1"/>
  <c r="I50" i="49"/>
  <c r="K50" i="49" s="1"/>
  <c r="I51" i="49"/>
  <c r="I49" i="41"/>
  <c r="I50" i="41"/>
  <c r="K50" i="41" s="1"/>
  <c r="I51" i="41"/>
  <c r="C20" i="50"/>
  <c r="C20" i="40"/>
  <c r="K49" i="41" l="1"/>
  <c r="AI12" i="51"/>
  <c r="AJ12" i="51" a="1"/>
  <c r="AJ12" i="51" l="1"/>
  <c r="H18" i="49" l="1"/>
  <c r="H18" i="41"/>
  <c r="H30" i="41" s="1"/>
  <c r="AG9" i="39"/>
  <c r="AB9" i="39"/>
  <c r="F10" i="51" l="1"/>
  <c r="G37" i="41"/>
  <c r="F9" i="51" l="1"/>
  <c r="K55" i="48" s="1"/>
  <c r="G38" i="49"/>
  <c r="I38" i="49" s="1"/>
  <c r="G39" i="49"/>
  <c r="I39" i="49" s="1"/>
  <c r="I37" i="48" s="1"/>
  <c r="G37" i="49"/>
  <c r="G38" i="41"/>
  <c r="G39" i="41"/>
  <c r="Y130" i="36"/>
  <c r="Y129" i="36"/>
  <c r="Y128" i="36"/>
  <c r="Y127" i="36"/>
  <c r="Y126" i="36"/>
  <c r="Y125" i="36"/>
  <c r="Y124" i="36"/>
  <c r="Y123" i="36"/>
  <c r="Y122" i="36"/>
  <c r="Y121" i="36"/>
  <c r="K55" i="47" l="1"/>
  <c r="I36" i="48"/>
  <c r="G37" i="47"/>
  <c r="G37" i="48"/>
  <c r="G36" i="48"/>
  <c r="G36" i="47"/>
  <c r="K76" i="49" l="1"/>
  <c r="D5" i="50"/>
  <c r="D20" i="50" s="1"/>
  <c r="D5" i="40"/>
  <c r="G19" i="40" l="1"/>
  <c r="G18" i="50"/>
  <c r="D18" i="50" s="1"/>
  <c r="G19" i="50"/>
  <c r="D19" i="50" s="1"/>
  <c r="G18" i="40"/>
  <c r="H18" i="40" l="1"/>
  <c r="H20" i="40"/>
  <c r="K21" i="40"/>
  <c r="K22" i="40"/>
  <c r="K23" i="40"/>
  <c r="K24" i="40"/>
  <c r="K25" i="40"/>
  <c r="K26" i="40"/>
  <c r="K27" i="40"/>
  <c r="P72" i="39" l="1"/>
  <c r="P73" i="39"/>
  <c r="P74" i="39"/>
  <c r="P75" i="39"/>
  <c r="P76" i="39"/>
  <c r="P77" i="39"/>
  <c r="P78" i="39"/>
  <c r="P79" i="39"/>
  <c r="P80" i="39"/>
  <c r="P81" i="39"/>
  <c r="P82" i="39"/>
  <c r="P83" i="39"/>
  <c r="P84" i="39"/>
  <c r="P85" i="39"/>
  <c r="P86" i="39"/>
  <c r="P87" i="39"/>
  <c r="P88" i="39"/>
  <c r="P89" i="39"/>
  <c r="P90" i="39"/>
  <c r="P91" i="39"/>
  <c r="P92" i="39"/>
  <c r="P93" i="39"/>
  <c r="P94" i="39"/>
  <c r="P95" i="39"/>
  <c r="P96" i="39"/>
  <c r="P97" i="39"/>
  <c r="P98" i="39"/>
  <c r="P99" i="39"/>
  <c r="P100" i="39"/>
  <c r="P101" i="39"/>
  <c r="P102" i="39"/>
  <c r="P103" i="39"/>
  <c r="P104" i="39"/>
  <c r="P105" i="39"/>
  <c r="P106" i="39"/>
  <c r="P107" i="39"/>
  <c r="P108" i="39"/>
  <c r="P109" i="39"/>
  <c r="P110" i="39"/>
  <c r="P111" i="39"/>
  <c r="P112" i="39"/>
  <c r="P113" i="39"/>
  <c r="P114" i="39"/>
  <c r="P115" i="39"/>
  <c r="P116" i="39"/>
  <c r="P117" i="39"/>
  <c r="P118" i="39"/>
  <c r="P119" i="39"/>
  <c r="P120" i="39"/>
  <c r="P121" i="39"/>
  <c r="P122" i="39"/>
  <c r="P123" i="39"/>
  <c r="P124" i="39"/>
  <c r="P125" i="39"/>
  <c r="P126" i="39"/>
  <c r="P127" i="39"/>
  <c r="P128" i="39"/>
  <c r="P129" i="39"/>
  <c r="P130" i="39"/>
  <c r="P131" i="39"/>
  <c r="P71" i="39"/>
  <c r="P10" i="39"/>
  <c r="P11" i="39"/>
  <c r="P12" i="39"/>
  <c r="P13" i="39"/>
  <c r="P14" i="39"/>
  <c r="P15" i="39"/>
  <c r="P16" i="39"/>
  <c r="P17" i="39"/>
  <c r="P18" i="39"/>
  <c r="P19" i="39"/>
  <c r="P20" i="39"/>
  <c r="P21" i="39"/>
  <c r="P22" i="39"/>
  <c r="P23" i="39"/>
  <c r="P24" i="39"/>
  <c r="P25" i="39"/>
  <c r="P26" i="39"/>
  <c r="P27" i="39"/>
  <c r="P28" i="39"/>
  <c r="P29" i="39"/>
  <c r="P30" i="39"/>
  <c r="P31" i="39"/>
  <c r="P32" i="39"/>
  <c r="P33" i="39"/>
  <c r="P34" i="39"/>
  <c r="P35" i="39"/>
  <c r="P36" i="39"/>
  <c r="P37" i="39"/>
  <c r="P38" i="39"/>
  <c r="P39" i="39"/>
  <c r="P40" i="39"/>
  <c r="P41" i="39"/>
  <c r="P42" i="39"/>
  <c r="P43" i="39"/>
  <c r="P44" i="39"/>
  <c r="P45" i="39"/>
  <c r="P46" i="39"/>
  <c r="P47" i="39"/>
  <c r="P48" i="39"/>
  <c r="P49" i="39"/>
  <c r="P50" i="39"/>
  <c r="P51" i="39"/>
  <c r="P52" i="39"/>
  <c r="P53" i="39"/>
  <c r="P54" i="39"/>
  <c r="P55" i="39"/>
  <c r="P56" i="39"/>
  <c r="P57" i="39"/>
  <c r="P58" i="39"/>
  <c r="P59" i="39"/>
  <c r="P60" i="39"/>
  <c r="P61" i="39"/>
  <c r="P62" i="39"/>
  <c r="P63" i="39"/>
  <c r="P64" i="39"/>
  <c r="P65" i="39"/>
  <c r="P66" i="39"/>
  <c r="P67" i="39"/>
  <c r="P68" i="39"/>
  <c r="P69" i="39"/>
  <c r="P9" i="39"/>
  <c r="Q9" i="39" s="1"/>
  <c r="S9" i="39" s="1"/>
  <c r="R25" i="41" l="1"/>
  <c r="D41" i="43" l="1"/>
  <c r="O5" i="39"/>
  <c r="N3" i="39"/>
  <c r="F17" i="43" l="1"/>
  <c r="E17" i="43"/>
  <c r="D17" i="43"/>
  <c r="K76" i="41" l="1"/>
  <c r="D6" i="41"/>
  <c r="D6" i="48"/>
  <c r="H28" i="50"/>
  <c r="D6" i="49" l="1"/>
  <c r="D6" i="47"/>
  <c r="B45" i="51"/>
  <c r="H37" i="41" s="1"/>
  <c r="I37" i="41" s="1"/>
  <c r="D5" i="48" l="1"/>
  <c r="D5" i="47"/>
  <c r="D5" i="49"/>
  <c r="D5" i="41"/>
  <c r="E27" i="51"/>
  <c r="E22" i="51"/>
  <c r="K77" i="41" s="1"/>
  <c r="D62" i="51" l="1"/>
  <c r="C62" i="51"/>
  <c r="E7" i="48" l="1"/>
  <c r="V9" i="39" l="1"/>
  <c r="W9" i="39" s="1"/>
  <c r="T9" i="39"/>
  <c r="AG118" i="39"/>
  <c r="AG119" i="39"/>
  <c r="AG120" i="39"/>
  <c r="AG121" i="39"/>
  <c r="AG122" i="39"/>
  <c r="AG123" i="39"/>
  <c r="AG124" i="39"/>
  <c r="AG125" i="39"/>
  <c r="AG126" i="39"/>
  <c r="AG127" i="39"/>
  <c r="AM118" i="39"/>
  <c r="AM119" i="39"/>
  <c r="AM120" i="39"/>
  <c r="AM121" i="39"/>
  <c r="AM122" i="39"/>
  <c r="AM123" i="39"/>
  <c r="AM124" i="39"/>
  <c r="AM125" i="39"/>
  <c r="AM126" i="39"/>
  <c r="AM127" i="39"/>
  <c r="AK118" i="39"/>
  <c r="AK119" i="39"/>
  <c r="AK120" i="39"/>
  <c r="AK121" i="39"/>
  <c r="AK122" i="39"/>
  <c r="AK123" i="39"/>
  <c r="AK124" i="39"/>
  <c r="AK125" i="39"/>
  <c r="AK126" i="39"/>
  <c r="AK127" i="39"/>
  <c r="AB118" i="39"/>
  <c r="AB119" i="39"/>
  <c r="AB120" i="39"/>
  <c r="AB121" i="39"/>
  <c r="AB122" i="39"/>
  <c r="AB123" i="39"/>
  <c r="AB124" i="39"/>
  <c r="AB125" i="39"/>
  <c r="AB126" i="39"/>
  <c r="AB127" i="39"/>
  <c r="W118" i="39"/>
  <c r="W119" i="39"/>
  <c r="W120" i="39"/>
  <c r="W121" i="39"/>
  <c r="W122" i="39"/>
  <c r="W123" i="39"/>
  <c r="W124" i="39"/>
  <c r="W125" i="39"/>
  <c r="W126" i="39"/>
  <c r="W127" i="39"/>
  <c r="V118" i="39"/>
  <c r="V119" i="39"/>
  <c r="V120" i="39"/>
  <c r="V121" i="39"/>
  <c r="V122" i="39"/>
  <c r="V123" i="39"/>
  <c r="V124" i="39"/>
  <c r="V125" i="39"/>
  <c r="V126" i="39"/>
  <c r="V127" i="39"/>
  <c r="T118" i="39"/>
  <c r="T119" i="39"/>
  <c r="T120" i="39"/>
  <c r="T121" i="39"/>
  <c r="T122" i="39"/>
  <c r="T123" i="39"/>
  <c r="T124" i="39"/>
  <c r="T125" i="39"/>
  <c r="T126" i="39"/>
  <c r="T127" i="39"/>
  <c r="S118" i="39"/>
  <c r="S119" i="39"/>
  <c r="S120" i="39"/>
  <c r="S121" i="39"/>
  <c r="S122" i="39"/>
  <c r="S123" i="39"/>
  <c r="S124" i="39"/>
  <c r="S125" i="39"/>
  <c r="S126" i="39"/>
  <c r="S127" i="39"/>
  <c r="Q118" i="39"/>
  <c r="Q119" i="39"/>
  <c r="Q120" i="39"/>
  <c r="Q121" i="39"/>
  <c r="Q122" i="39"/>
  <c r="Q123" i="39"/>
  <c r="Q124" i="39"/>
  <c r="Q125" i="39"/>
  <c r="Q126" i="39"/>
  <c r="Q127" i="39"/>
  <c r="AM57" i="39"/>
  <c r="AM58" i="39"/>
  <c r="AM59" i="39"/>
  <c r="AM60" i="39"/>
  <c r="AM61" i="39"/>
  <c r="AM62" i="39"/>
  <c r="AM63" i="39"/>
  <c r="AM64" i="39"/>
  <c r="AM65" i="39"/>
  <c r="AM66" i="39"/>
  <c r="AM67" i="39"/>
  <c r="AK57" i="39"/>
  <c r="AK58" i="39"/>
  <c r="AK59" i="39"/>
  <c r="AK60" i="39"/>
  <c r="AK61" i="39"/>
  <c r="AK62" i="39"/>
  <c r="AK63" i="39"/>
  <c r="AK64" i="39"/>
  <c r="AK65" i="39"/>
  <c r="AK66" i="39"/>
  <c r="AK67" i="39"/>
  <c r="AG57" i="39"/>
  <c r="AG58" i="39"/>
  <c r="AG59" i="39"/>
  <c r="AG60" i="39"/>
  <c r="AG61" i="39"/>
  <c r="AG62" i="39"/>
  <c r="AG63" i="39"/>
  <c r="AG64" i="39"/>
  <c r="AG65" i="39"/>
  <c r="AG66" i="39"/>
  <c r="AG67" i="39"/>
  <c r="AB57" i="39"/>
  <c r="AB58" i="39"/>
  <c r="AB59" i="39"/>
  <c r="AB60" i="39"/>
  <c r="AB61" i="39"/>
  <c r="AB62" i="39"/>
  <c r="AB63" i="39"/>
  <c r="AB64" i="39"/>
  <c r="AB65" i="39"/>
  <c r="AB66" i="39"/>
  <c r="AB67" i="39"/>
  <c r="W57" i="39"/>
  <c r="W58" i="39"/>
  <c r="W59" i="39"/>
  <c r="W60" i="39"/>
  <c r="W61" i="39"/>
  <c r="W62" i="39"/>
  <c r="W63" i="39"/>
  <c r="W64" i="39"/>
  <c r="W65" i="39"/>
  <c r="W66" i="39"/>
  <c r="W67" i="39"/>
  <c r="V57" i="39"/>
  <c r="V58" i="39"/>
  <c r="V59" i="39"/>
  <c r="V60" i="39"/>
  <c r="V61" i="39"/>
  <c r="V62" i="39"/>
  <c r="V63" i="39"/>
  <c r="V64" i="39"/>
  <c r="V65" i="39"/>
  <c r="V66" i="39"/>
  <c r="V67" i="39"/>
  <c r="T57" i="39"/>
  <c r="T58" i="39"/>
  <c r="T59" i="39"/>
  <c r="T60" i="39"/>
  <c r="T61" i="39"/>
  <c r="T62" i="39"/>
  <c r="T63" i="39"/>
  <c r="T64" i="39"/>
  <c r="T65" i="39"/>
  <c r="T66" i="39"/>
  <c r="T67" i="39"/>
  <c r="S57" i="39"/>
  <c r="S58" i="39"/>
  <c r="S59" i="39"/>
  <c r="S60" i="39"/>
  <c r="S61" i="39"/>
  <c r="S62" i="39"/>
  <c r="S63" i="39"/>
  <c r="S64" i="39"/>
  <c r="S65" i="39"/>
  <c r="S66" i="39"/>
  <c r="S67" i="39"/>
  <c r="Q57" i="39"/>
  <c r="Q58" i="39"/>
  <c r="Q59" i="39"/>
  <c r="Q60" i="39"/>
  <c r="Q61" i="39"/>
  <c r="Q62" i="39"/>
  <c r="Q63" i="39"/>
  <c r="Q64" i="39"/>
  <c r="Q65" i="39"/>
  <c r="Q66" i="39"/>
  <c r="Q67" i="39"/>
  <c r="Q115" i="39" l="1"/>
  <c r="Q116" i="39"/>
  <c r="Q117" i="39"/>
  <c r="Q128" i="39"/>
  <c r="Q129" i="39"/>
  <c r="Q130" i="39"/>
  <c r="S115" i="39"/>
  <c r="S116" i="39"/>
  <c r="S117" i="39"/>
  <c r="S128" i="39"/>
  <c r="S129" i="39"/>
  <c r="S130" i="39"/>
  <c r="T115" i="39"/>
  <c r="T116" i="39"/>
  <c r="T117" i="39"/>
  <c r="T128" i="39"/>
  <c r="T129" i="39"/>
  <c r="T130" i="39"/>
  <c r="V115" i="39"/>
  <c r="V116" i="39"/>
  <c r="V117" i="39"/>
  <c r="V128" i="39"/>
  <c r="V129" i="39"/>
  <c r="V130" i="39"/>
  <c r="W115" i="39"/>
  <c r="W116" i="39"/>
  <c r="W117" i="39"/>
  <c r="W128" i="39"/>
  <c r="W129" i="39"/>
  <c r="W130" i="39"/>
  <c r="AB115" i="39"/>
  <c r="AB116" i="39"/>
  <c r="AB117" i="39"/>
  <c r="AB128" i="39"/>
  <c r="AB129" i="39"/>
  <c r="AB130" i="39"/>
  <c r="AG115" i="39"/>
  <c r="AG116" i="39"/>
  <c r="AG117" i="39"/>
  <c r="AG128" i="39"/>
  <c r="AG129" i="39"/>
  <c r="AG130" i="39"/>
  <c r="AK115" i="39"/>
  <c r="AK116" i="39"/>
  <c r="AK117" i="39"/>
  <c r="AK128" i="39"/>
  <c r="AK129" i="39"/>
  <c r="AK130" i="39"/>
  <c r="AM115" i="39"/>
  <c r="AM116" i="39"/>
  <c r="AM117" i="39"/>
  <c r="AM128" i="39"/>
  <c r="AM129" i="39"/>
  <c r="AM130" i="39"/>
  <c r="AM54" i="39"/>
  <c r="AM55" i="39"/>
  <c r="AM56" i="39"/>
  <c r="AM68" i="39"/>
  <c r="AK54" i="39"/>
  <c r="AK55" i="39"/>
  <c r="AK56" i="39"/>
  <c r="AK68" i="39"/>
  <c r="AG54" i="39"/>
  <c r="AG55" i="39"/>
  <c r="AG56" i="39"/>
  <c r="AG68" i="39"/>
  <c r="AB54" i="39"/>
  <c r="AB55" i="39"/>
  <c r="AB56" i="39"/>
  <c r="AB68" i="39"/>
  <c r="W54" i="39"/>
  <c r="W55" i="39"/>
  <c r="W56" i="39"/>
  <c r="W68" i="39"/>
  <c r="V54" i="39"/>
  <c r="V55" i="39"/>
  <c r="V56" i="39"/>
  <c r="V68" i="39"/>
  <c r="T54" i="39"/>
  <c r="T55" i="39"/>
  <c r="T56" i="39"/>
  <c r="T68" i="39"/>
  <c r="S54" i="39"/>
  <c r="S55" i="39"/>
  <c r="S56" i="39"/>
  <c r="S68" i="39"/>
  <c r="Q54" i="39"/>
  <c r="Q55" i="39"/>
  <c r="Q56" i="39"/>
  <c r="Q68" i="39"/>
  <c r="Q39" i="39"/>
  <c r="Q40" i="39"/>
  <c r="Q41" i="39"/>
  <c r="Q42" i="39"/>
  <c r="Q43" i="39"/>
  <c r="Q44" i="39"/>
  <c r="Q45" i="39"/>
  <c r="Q46" i="39"/>
  <c r="Q47" i="39"/>
  <c r="Q48" i="39"/>
  <c r="Q49" i="39"/>
  <c r="Q50" i="39"/>
  <c r="Q51" i="39"/>
  <c r="Q52" i="39"/>
  <c r="Q53" i="39"/>
  <c r="W39" i="39"/>
  <c r="W40" i="39"/>
  <c r="W41" i="39"/>
  <c r="W42" i="39"/>
  <c r="W43" i="39"/>
  <c r="W44" i="39"/>
  <c r="W45" i="39"/>
  <c r="W46" i="39"/>
  <c r="W47" i="39"/>
  <c r="W48" i="39"/>
  <c r="W49" i="39"/>
  <c r="W50" i="39"/>
  <c r="W51" i="39"/>
  <c r="W52" i="39"/>
  <c r="W53" i="39"/>
  <c r="V39" i="39"/>
  <c r="V40" i="39"/>
  <c r="V41" i="39"/>
  <c r="V42" i="39"/>
  <c r="V43" i="39"/>
  <c r="V44" i="39"/>
  <c r="V45" i="39"/>
  <c r="V46" i="39"/>
  <c r="V47" i="39"/>
  <c r="V48" i="39"/>
  <c r="V49" i="39"/>
  <c r="V50" i="39"/>
  <c r="V51" i="39"/>
  <c r="V52" i="39"/>
  <c r="V53" i="39"/>
  <c r="T39" i="39"/>
  <c r="T40" i="39"/>
  <c r="T41" i="39"/>
  <c r="T42" i="39"/>
  <c r="T43" i="39"/>
  <c r="T44" i="39"/>
  <c r="T45" i="39"/>
  <c r="T46" i="39"/>
  <c r="T47" i="39"/>
  <c r="T48" i="39"/>
  <c r="T49" i="39"/>
  <c r="T50" i="39"/>
  <c r="T51" i="39"/>
  <c r="T52" i="39"/>
  <c r="T53" i="39"/>
  <c r="S39" i="39"/>
  <c r="S40" i="39"/>
  <c r="S41" i="39"/>
  <c r="S42" i="39"/>
  <c r="S43" i="39"/>
  <c r="S44" i="39"/>
  <c r="S45" i="39"/>
  <c r="S46" i="39"/>
  <c r="S47" i="39"/>
  <c r="S48" i="39"/>
  <c r="S49" i="39"/>
  <c r="S50" i="39"/>
  <c r="S51" i="39"/>
  <c r="S52" i="39"/>
  <c r="S53" i="39"/>
  <c r="AM39" i="39"/>
  <c r="AM40" i="39"/>
  <c r="AM41" i="39"/>
  <c r="AM42" i="39"/>
  <c r="AM43" i="39"/>
  <c r="AM44" i="39"/>
  <c r="AM45" i="39"/>
  <c r="AM46" i="39"/>
  <c r="AM47" i="39"/>
  <c r="AM48" i="39"/>
  <c r="AM49" i="39"/>
  <c r="AM50" i="39"/>
  <c r="AM51" i="39"/>
  <c r="AM52" i="39"/>
  <c r="AM53" i="39"/>
  <c r="AK39" i="39"/>
  <c r="AK40" i="39"/>
  <c r="AK41" i="39"/>
  <c r="AK42" i="39"/>
  <c r="AK43" i="39"/>
  <c r="AK44" i="39"/>
  <c r="AK45" i="39"/>
  <c r="AK46" i="39"/>
  <c r="AK47" i="39"/>
  <c r="AK48" i="39"/>
  <c r="AK49" i="39"/>
  <c r="AK50" i="39"/>
  <c r="AK51" i="39"/>
  <c r="AK52" i="39"/>
  <c r="AK53" i="39"/>
  <c r="AG39" i="39"/>
  <c r="AG40" i="39"/>
  <c r="AG41" i="39"/>
  <c r="AG42" i="39"/>
  <c r="AG43" i="39"/>
  <c r="AG44" i="39"/>
  <c r="AG45" i="39"/>
  <c r="AG46" i="39"/>
  <c r="AG47" i="39"/>
  <c r="AG48" i="39"/>
  <c r="AG49" i="39"/>
  <c r="AG50" i="39"/>
  <c r="AG51" i="39"/>
  <c r="AG52" i="39"/>
  <c r="AG53" i="39"/>
  <c r="AB39" i="39"/>
  <c r="AB40" i="39"/>
  <c r="AB41" i="39"/>
  <c r="AB42" i="39"/>
  <c r="AB43" i="39"/>
  <c r="AB44" i="39"/>
  <c r="AB45" i="39"/>
  <c r="AB46" i="39"/>
  <c r="AB47" i="39"/>
  <c r="AB48" i="39"/>
  <c r="AB49" i="39"/>
  <c r="AB50" i="39"/>
  <c r="AB51" i="39"/>
  <c r="AB52" i="39"/>
  <c r="AB53" i="39"/>
  <c r="Z132" i="39"/>
  <c r="AM104" i="39"/>
  <c r="AM105" i="39"/>
  <c r="AM106" i="39"/>
  <c r="AM107" i="39"/>
  <c r="AM108" i="39"/>
  <c r="AM109" i="39"/>
  <c r="AM110" i="39"/>
  <c r="AM111" i="39"/>
  <c r="AM112" i="39"/>
  <c r="AM113" i="39"/>
  <c r="AM114" i="39"/>
  <c r="AK104" i="39"/>
  <c r="AK105" i="39"/>
  <c r="AK106" i="39"/>
  <c r="AK107" i="39"/>
  <c r="AK108" i="39"/>
  <c r="AK109" i="39"/>
  <c r="AK110" i="39"/>
  <c r="AK111" i="39"/>
  <c r="AK112" i="39"/>
  <c r="AK113" i="39"/>
  <c r="AK114" i="39"/>
  <c r="AG104" i="39"/>
  <c r="AG105" i="39"/>
  <c r="AG106" i="39"/>
  <c r="AG107" i="39"/>
  <c r="AG108" i="39"/>
  <c r="AG109" i="39"/>
  <c r="AG110" i="39"/>
  <c r="AG111" i="39"/>
  <c r="AG112" i="39"/>
  <c r="AG113" i="39"/>
  <c r="AG114" i="39"/>
  <c r="AB104" i="39"/>
  <c r="AB105" i="39"/>
  <c r="AB106" i="39"/>
  <c r="AB107" i="39"/>
  <c r="AB108" i="39"/>
  <c r="AB109" i="39"/>
  <c r="AB110" i="39"/>
  <c r="AB111" i="39"/>
  <c r="AB112" i="39"/>
  <c r="AB113" i="39"/>
  <c r="AB114" i="39"/>
  <c r="W104" i="39"/>
  <c r="W105" i="39"/>
  <c r="W106" i="39"/>
  <c r="W107" i="39"/>
  <c r="W108" i="39"/>
  <c r="W109" i="39"/>
  <c r="W110" i="39"/>
  <c r="W111" i="39"/>
  <c r="W112" i="39"/>
  <c r="W113" i="39"/>
  <c r="W114" i="39"/>
  <c r="V104" i="39"/>
  <c r="V105" i="39"/>
  <c r="V106" i="39"/>
  <c r="V107" i="39"/>
  <c r="V108" i="39"/>
  <c r="V109" i="39"/>
  <c r="V110" i="39"/>
  <c r="V111" i="39"/>
  <c r="V112" i="39"/>
  <c r="V113" i="39"/>
  <c r="V114" i="39"/>
  <c r="T104" i="39"/>
  <c r="T105" i="39"/>
  <c r="T106" i="39"/>
  <c r="T107" i="39"/>
  <c r="T108" i="39"/>
  <c r="T109" i="39"/>
  <c r="T110" i="39"/>
  <c r="T111" i="39"/>
  <c r="T112" i="39"/>
  <c r="T113" i="39"/>
  <c r="T114" i="39"/>
  <c r="S104" i="39"/>
  <c r="S105" i="39"/>
  <c r="S106" i="39"/>
  <c r="S107" i="39"/>
  <c r="S108" i="39"/>
  <c r="S109" i="39"/>
  <c r="S110" i="39"/>
  <c r="S111" i="39"/>
  <c r="S112" i="39"/>
  <c r="S113" i="39"/>
  <c r="S114" i="39"/>
  <c r="Q104" i="39"/>
  <c r="Q105" i="39"/>
  <c r="Q106" i="39"/>
  <c r="Q107" i="39"/>
  <c r="Q108" i="39"/>
  <c r="Q109" i="39"/>
  <c r="Q110" i="39"/>
  <c r="Q111" i="39"/>
  <c r="Q112" i="39"/>
  <c r="Q113" i="39"/>
  <c r="Q114" i="39"/>
  <c r="AM75" i="39" l="1"/>
  <c r="AL75" i="39" s="1"/>
  <c r="AM74" i="39"/>
  <c r="AL74" i="39" s="1"/>
  <c r="D35" i="50" l="1"/>
  <c r="D36" i="50"/>
  <c r="D34" i="50"/>
  <c r="I50" i="47" l="1"/>
  <c r="I51" i="47"/>
  <c r="B47" i="51"/>
  <c r="H39" i="41" s="1"/>
  <c r="B46" i="51"/>
  <c r="H38" i="41" s="1"/>
  <c r="H37" i="48" l="1"/>
  <c r="H37" i="47"/>
  <c r="I39" i="41"/>
  <c r="I37" i="47" s="1"/>
  <c r="H36" i="47"/>
  <c r="H36" i="48"/>
  <c r="I38" i="41"/>
  <c r="I36" i="47" s="1"/>
  <c r="I50" i="48"/>
  <c r="AB78" i="39"/>
  <c r="E7" i="40" l="1"/>
  <c r="G16" i="40" s="1"/>
  <c r="I44" i="41"/>
  <c r="AA132" i="39" l="1"/>
  <c r="Y132" i="39"/>
  <c r="X132" i="39"/>
  <c r="F34" i="50" l="1"/>
  <c r="F34" i="40"/>
  <c r="X70" i="39"/>
  <c r="X133" i="39" s="1"/>
  <c r="Y70" i="39"/>
  <c r="Y133" i="39" s="1"/>
  <c r="Z70" i="39"/>
  <c r="Z133" i="39" s="1"/>
  <c r="E7" i="49" l="1"/>
  <c r="G35" i="41" l="1"/>
  <c r="E8" i="47"/>
  <c r="E8" i="40"/>
  <c r="E8" i="48" l="1"/>
  <c r="G35" i="49"/>
  <c r="G36" i="49"/>
  <c r="D21" i="40"/>
  <c r="I21" i="40" s="1"/>
  <c r="D22" i="40"/>
  <c r="I22" i="40" s="1"/>
  <c r="D23" i="40"/>
  <c r="I23" i="40" s="1"/>
  <c r="D24" i="40"/>
  <c r="L24" i="40" s="1"/>
  <c r="D25" i="40"/>
  <c r="I25" i="40" s="1"/>
  <c r="D26" i="40"/>
  <c r="I26" i="40" s="1"/>
  <c r="D27" i="40"/>
  <c r="I27" i="40" s="1"/>
  <c r="D21" i="50"/>
  <c r="I21" i="50" s="1"/>
  <c r="D22" i="50"/>
  <c r="L22" i="50" s="1"/>
  <c r="D23" i="50"/>
  <c r="I23" i="50" s="1"/>
  <c r="D24" i="50"/>
  <c r="I24" i="50" s="1"/>
  <c r="D25" i="50"/>
  <c r="I25" i="50" s="1"/>
  <c r="D26" i="50"/>
  <c r="I26" i="50" s="1"/>
  <c r="D27" i="50"/>
  <c r="L27" i="50" s="1"/>
  <c r="L22" i="40" l="1"/>
  <c r="L21" i="40"/>
  <c r="L27" i="40"/>
  <c r="I22" i="50"/>
  <c r="L23" i="40"/>
  <c r="L25" i="40"/>
  <c r="L26" i="50"/>
  <c r="I27" i="50"/>
  <c r="L25" i="50"/>
  <c r="L24" i="50"/>
  <c r="L23" i="50"/>
  <c r="I24" i="40"/>
  <c r="L26" i="40"/>
  <c r="G34" i="50" l="1"/>
  <c r="G35" i="50"/>
  <c r="G36" i="50"/>
  <c r="F35" i="50"/>
  <c r="F36" i="50"/>
  <c r="G34" i="40"/>
  <c r="G35" i="40"/>
  <c r="G36" i="40"/>
  <c r="F35" i="40"/>
  <c r="F36" i="40"/>
  <c r="D34" i="40"/>
  <c r="D35" i="40"/>
  <c r="D36" i="40"/>
  <c r="K77" i="49" l="1"/>
  <c r="H36" i="49"/>
  <c r="H35" i="49"/>
  <c r="C35" i="49"/>
  <c r="AF70" i="39"/>
  <c r="AE70" i="39"/>
  <c r="AD70" i="39"/>
  <c r="AC70" i="39"/>
  <c r="AB71" i="39"/>
  <c r="AG71" i="39"/>
  <c r="AF132" i="39"/>
  <c r="AC132" i="39"/>
  <c r="AE132" i="39"/>
  <c r="AD132" i="39"/>
  <c r="I51" i="48" l="1"/>
  <c r="I53" i="48" s="1"/>
  <c r="I42" i="48" s="1"/>
  <c r="K79" i="49"/>
  <c r="AF8" i="39"/>
  <c r="AC8" i="39"/>
  <c r="AD8" i="39"/>
  <c r="AE133" i="39"/>
  <c r="AC133" i="39"/>
  <c r="AE8" i="39"/>
  <c r="AF133" i="39"/>
  <c r="AD133" i="39"/>
  <c r="P86" i="49"/>
  <c r="O86" i="49"/>
  <c r="N86" i="49"/>
  <c r="M86" i="49"/>
  <c r="L86" i="49"/>
  <c r="H17" i="49"/>
  <c r="H16" i="49"/>
  <c r="H15" i="49"/>
  <c r="H17" i="41"/>
  <c r="H16" i="41"/>
  <c r="H15" i="41"/>
  <c r="H28" i="41" s="1"/>
  <c r="AK75" i="39" l="1"/>
  <c r="AM73" i="39" l="1"/>
  <c r="AL73" i="39" s="1"/>
  <c r="F35" i="48" l="1"/>
  <c r="F34" i="48"/>
  <c r="F35" i="47"/>
  <c r="F34" i="47"/>
  <c r="E35" i="48"/>
  <c r="C36" i="49"/>
  <c r="E34" i="48" s="1"/>
  <c r="E35" i="47"/>
  <c r="C36" i="41"/>
  <c r="E34" i="47" s="1"/>
  <c r="AM9" i="39" l="1"/>
  <c r="AL9" i="39" s="1"/>
  <c r="AK9" i="39"/>
  <c r="AG20" i="39"/>
  <c r="AB12" i="39"/>
  <c r="AB15" i="39"/>
  <c r="W131" i="39" l="1"/>
  <c r="W103" i="39"/>
  <c r="W102" i="39"/>
  <c r="W101" i="39"/>
  <c r="W100" i="39"/>
  <c r="W99" i="39"/>
  <c r="W98" i="39"/>
  <c r="W97" i="39"/>
  <c r="W96" i="39"/>
  <c r="W95" i="39"/>
  <c r="W94" i="39"/>
  <c r="W93" i="39"/>
  <c r="W69" i="39"/>
  <c r="W38" i="39"/>
  <c r="V131" i="39"/>
  <c r="V103" i="39"/>
  <c r="V102" i="39"/>
  <c r="V101" i="39"/>
  <c r="V100" i="39"/>
  <c r="V99" i="39"/>
  <c r="V98" i="39"/>
  <c r="V97" i="39"/>
  <c r="V96" i="39"/>
  <c r="V95" i="39"/>
  <c r="V94" i="39"/>
  <c r="V93" i="39"/>
  <c r="V69" i="39"/>
  <c r="V38" i="39"/>
  <c r="U132" i="39"/>
  <c r="U70" i="39"/>
  <c r="U133" i="39" l="1"/>
  <c r="U8" i="39"/>
  <c r="G28" i="49" l="1"/>
  <c r="F44" i="43" s="1"/>
  <c r="D47" i="43"/>
  <c r="AG23" i="39" l="1"/>
  <c r="AG24" i="39"/>
  <c r="AG25" i="39"/>
  <c r="AG26" i="39"/>
  <c r="AG27" i="39"/>
  <c r="AG28" i="39"/>
  <c r="AG29" i="39"/>
  <c r="AG30" i="39"/>
  <c r="AG31" i="39"/>
  <c r="AG32" i="39"/>
  <c r="AG33" i="39"/>
  <c r="AG34" i="39"/>
  <c r="AG35" i="39"/>
  <c r="AG36" i="39"/>
  <c r="AG37" i="39"/>
  <c r="AG38" i="39"/>
  <c r="AG69" i="39"/>
  <c r="AG11" i="39"/>
  <c r="AG12" i="39"/>
  <c r="AG13" i="39"/>
  <c r="AG14" i="39"/>
  <c r="AG15" i="39"/>
  <c r="AG16" i="39"/>
  <c r="AG17" i="39"/>
  <c r="AG18" i="39"/>
  <c r="AG19" i="39"/>
  <c r="AG21" i="39"/>
  <c r="AG22" i="39"/>
  <c r="AG10" i="39"/>
  <c r="AG131" i="39"/>
  <c r="AG103" i="39"/>
  <c r="AG102" i="39"/>
  <c r="AG101" i="39"/>
  <c r="AG100" i="39"/>
  <c r="AG99" i="39"/>
  <c r="AG98" i="39"/>
  <c r="AG97" i="39"/>
  <c r="AG96" i="39"/>
  <c r="AG95" i="39"/>
  <c r="AG94" i="39"/>
  <c r="AG93" i="39"/>
  <c r="AG92" i="39"/>
  <c r="AG91" i="39"/>
  <c r="AG90" i="39"/>
  <c r="AG89" i="39"/>
  <c r="AG88" i="39"/>
  <c r="AG87" i="39"/>
  <c r="AG86" i="39"/>
  <c r="AG85" i="39"/>
  <c r="AG84" i="39"/>
  <c r="AG83" i="39"/>
  <c r="AG82" i="39"/>
  <c r="AG81" i="39"/>
  <c r="AG80" i="39"/>
  <c r="AG79" i="39"/>
  <c r="AG78" i="39"/>
  <c r="AG77" i="39"/>
  <c r="AG76" i="39"/>
  <c r="AG75" i="39"/>
  <c r="AG74" i="39"/>
  <c r="AG73" i="39"/>
  <c r="AG72" i="39"/>
  <c r="AG132" i="39" l="1"/>
  <c r="I37" i="49"/>
  <c r="I35" i="48" s="1"/>
  <c r="G36" i="41"/>
  <c r="G34" i="47" s="1"/>
  <c r="I36" i="49"/>
  <c r="I34" i="48" s="1"/>
  <c r="E8" i="49"/>
  <c r="E8" i="50"/>
  <c r="E8" i="41"/>
  <c r="AG70" i="39"/>
  <c r="K38" i="49" l="1"/>
  <c r="J38" i="49" s="1"/>
  <c r="K39" i="49"/>
  <c r="J39" i="49" s="1"/>
  <c r="AG133" i="39"/>
  <c r="I35" i="49"/>
  <c r="H35" i="47"/>
  <c r="I35" i="47"/>
  <c r="G34" i="48"/>
  <c r="H35" i="48"/>
  <c r="AG8" i="39"/>
  <c r="G35" i="48"/>
  <c r="G35" i="47"/>
  <c r="I33" i="48" l="1"/>
  <c r="I33" i="49"/>
  <c r="G28" i="41"/>
  <c r="I43" i="41"/>
  <c r="I42" i="41" s="1"/>
  <c r="I28" i="41" l="1"/>
  <c r="C35" i="41"/>
  <c r="H5" i="48"/>
  <c r="H4" i="48"/>
  <c r="E7" i="47"/>
  <c r="J7" i="47"/>
  <c r="J6" i="47"/>
  <c r="J5" i="47"/>
  <c r="H5" i="47"/>
  <c r="J4" i="47"/>
  <c r="H4" i="47"/>
  <c r="J7" i="49"/>
  <c r="J6" i="49"/>
  <c r="J5" i="49"/>
  <c r="H5" i="49"/>
  <c r="H4" i="49"/>
  <c r="J4" i="49"/>
  <c r="K7" i="41"/>
  <c r="K6" i="41"/>
  <c r="J6" i="41"/>
  <c r="I6" i="41"/>
  <c r="K5" i="41"/>
  <c r="J5" i="41"/>
  <c r="I5" i="41"/>
  <c r="H5" i="41"/>
  <c r="H4" i="41"/>
  <c r="K4" i="41"/>
  <c r="J4" i="41"/>
  <c r="I4" i="41"/>
  <c r="E7" i="41"/>
  <c r="H58" i="49" l="1"/>
  <c r="H58" i="41"/>
  <c r="I58" i="41" s="1"/>
  <c r="K38" i="41"/>
  <c r="J38" i="41" s="1"/>
  <c r="K39" i="41"/>
  <c r="J39" i="41" s="1"/>
  <c r="I41" i="48"/>
  <c r="I40" i="48"/>
  <c r="K36" i="49"/>
  <c r="J36" i="49" s="1"/>
  <c r="K37" i="49"/>
  <c r="J37" i="49" s="1"/>
  <c r="K35" i="49"/>
  <c r="K37" i="41"/>
  <c r="J37" i="41" s="1"/>
  <c r="J35" i="49" l="1"/>
  <c r="J33" i="49" s="1"/>
  <c r="K33" i="49"/>
  <c r="K40" i="49" s="1"/>
  <c r="AB83" i="39"/>
  <c r="AK83" i="39"/>
  <c r="AM83" i="39"/>
  <c r="AL83" i="39" s="1"/>
  <c r="AB84" i="39"/>
  <c r="AK84" i="39"/>
  <c r="AM84" i="39"/>
  <c r="AL84" i="39" s="1"/>
  <c r="AB85" i="39"/>
  <c r="AK85" i="39"/>
  <c r="AM85" i="39"/>
  <c r="AL85" i="39" s="1"/>
  <c r="AB86" i="39"/>
  <c r="AK86" i="39"/>
  <c r="AM86" i="39"/>
  <c r="AL86" i="39" s="1"/>
  <c r="AB87" i="39"/>
  <c r="AK87" i="39"/>
  <c r="AM87" i="39"/>
  <c r="AL87" i="39" s="1"/>
  <c r="AB88" i="39"/>
  <c r="AK88" i="39"/>
  <c r="AM88" i="39"/>
  <c r="AL88" i="39" s="1"/>
  <c r="AB89" i="39"/>
  <c r="AK89" i="39"/>
  <c r="AM89" i="39"/>
  <c r="AL89" i="39" s="1"/>
  <c r="AB90" i="39"/>
  <c r="AK90" i="39"/>
  <c r="AM90" i="39"/>
  <c r="AL90" i="39" s="1"/>
  <c r="AB91" i="39"/>
  <c r="AK91" i="39"/>
  <c r="AM91" i="39"/>
  <c r="AL91" i="39" s="1"/>
  <c r="AB92" i="39"/>
  <c r="AK92" i="39"/>
  <c r="AM92" i="39"/>
  <c r="AL92" i="39" s="1"/>
  <c r="AB93" i="39"/>
  <c r="AK93" i="39"/>
  <c r="AM93" i="39"/>
  <c r="Q83" i="39"/>
  <c r="Q84" i="39"/>
  <c r="V84" i="39" s="1"/>
  <c r="Q85" i="39"/>
  <c r="V85" i="39" s="1"/>
  <c r="Q86" i="39"/>
  <c r="V86" i="39" s="1"/>
  <c r="Q87" i="39"/>
  <c r="V87" i="39" s="1"/>
  <c r="Q88" i="39"/>
  <c r="Q89" i="39"/>
  <c r="Q90" i="39"/>
  <c r="Q91" i="39"/>
  <c r="S91" i="39" s="1"/>
  <c r="Q93" i="39"/>
  <c r="S93" i="39"/>
  <c r="T93" i="39"/>
  <c r="S86" i="39" l="1"/>
  <c r="V90" i="39"/>
  <c r="W90" i="39"/>
  <c r="S84" i="39"/>
  <c r="V91" i="39"/>
  <c r="W91" i="39"/>
  <c r="S85" i="39"/>
  <c r="T91" i="39"/>
  <c r="S89" i="39"/>
  <c r="V89" i="39"/>
  <c r="W89" i="39"/>
  <c r="V88" i="39"/>
  <c r="W88" i="39" s="1"/>
  <c r="T85" i="39"/>
  <c r="W85" i="39"/>
  <c r="S87" i="39"/>
  <c r="W87" i="39"/>
  <c r="T84" i="39"/>
  <c r="W84" i="39"/>
  <c r="T86" i="39"/>
  <c r="W86" i="39"/>
  <c r="S83" i="39"/>
  <c r="T83" i="39" s="1"/>
  <c r="V83" i="39"/>
  <c r="W83" i="39" s="1"/>
  <c r="Q92" i="39"/>
  <c r="S92" i="39" s="1"/>
  <c r="T92" i="39" s="1"/>
  <c r="T87" i="39"/>
  <c r="S90" i="39"/>
  <c r="T90" i="39" s="1"/>
  <c r="T89" i="39"/>
  <c r="S88" i="39"/>
  <c r="T88" i="39" s="1"/>
  <c r="AB30" i="39"/>
  <c r="AB29" i="39"/>
  <c r="W92" i="39" l="1"/>
  <c r="V92" i="39"/>
  <c r="AB22" i="39"/>
  <c r="AK22" i="39"/>
  <c r="AM22" i="39"/>
  <c r="AL22" i="39" s="1"/>
  <c r="AB23" i="39"/>
  <c r="AK23" i="39"/>
  <c r="AM23" i="39"/>
  <c r="AL23" i="39" s="1"/>
  <c r="AB24" i="39"/>
  <c r="AK24" i="39"/>
  <c r="AM24" i="39"/>
  <c r="AL24" i="39" s="1"/>
  <c r="AB25" i="39"/>
  <c r="AK25" i="39"/>
  <c r="AM25" i="39"/>
  <c r="AL25" i="39" s="1"/>
  <c r="AB26" i="39"/>
  <c r="AK26" i="39"/>
  <c r="AM26" i="39"/>
  <c r="AL26" i="39" s="1"/>
  <c r="AB27" i="39"/>
  <c r="AK27" i="39"/>
  <c r="AM27" i="39"/>
  <c r="AL27" i="39" s="1"/>
  <c r="AB28" i="39"/>
  <c r="AK28" i="39"/>
  <c r="AM28" i="39"/>
  <c r="AL28" i="39" s="1"/>
  <c r="AK29" i="39"/>
  <c r="AM29" i="39"/>
  <c r="AL29" i="39" s="1"/>
  <c r="Q26" i="39"/>
  <c r="Q27" i="39"/>
  <c r="V27" i="39" s="1"/>
  <c r="Q30" i="39"/>
  <c r="W27" i="39" l="1"/>
  <c r="S30" i="39"/>
  <c r="T30" i="39"/>
  <c r="V26" i="39"/>
  <c r="W26" i="39"/>
  <c r="Q25" i="39"/>
  <c r="S25" i="39" s="1"/>
  <c r="Q24" i="39"/>
  <c r="Q23" i="39"/>
  <c r="Q22" i="39"/>
  <c r="Q29" i="39"/>
  <c r="Q28" i="39"/>
  <c r="V28" i="39" s="1"/>
  <c r="S27" i="39"/>
  <c r="T27" i="39" s="1"/>
  <c r="S26" i="39"/>
  <c r="T26" i="39" s="1"/>
  <c r="B43" i="51" l="1"/>
  <c r="H35" i="41" s="1"/>
  <c r="I35" i="41" s="1"/>
  <c r="S28" i="39"/>
  <c r="W29" i="39"/>
  <c r="V29" i="39"/>
  <c r="S29" i="39"/>
  <c r="T29" i="39"/>
  <c r="T28" i="39"/>
  <c r="W28" i="39"/>
  <c r="B44" i="51"/>
  <c r="H36" i="41" s="1"/>
  <c r="S23" i="39"/>
  <c r="T23" i="39" s="1"/>
  <c r="T25" i="39"/>
  <c r="V25" i="39"/>
  <c r="W25" i="39" s="1"/>
  <c r="W24" i="39"/>
  <c r="V22" i="39"/>
  <c r="W22" i="39" s="1"/>
  <c r="V23" i="39"/>
  <c r="W23" i="39" s="1"/>
  <c r="S24" i="39"/>
  <c r="T24" i="39" s="1"/>
  <c r="V24" i="39"/>
  <c r="V30" i="39"/>
  <c r="W30" i="39" s="1"/>
  <c r="S22" i="39"/>
  <c r="T22" i="39" s="1"/>
  <c r="I8" i="48"/>
  <c r="I8" i="47"/>
  <c r="I8" i="49"/>
  <c r="I8" i="41"/>
  <c r="H34" i="47" l="1"/>
  <c r="H34" i="48"/>
  <c r="I36" i="41"/>
  <c r="I33" i="41" s="1"/>
  <c r="K35" i="41"/>
  <c r="C19" i="50"/>
  <c r="C18" i="50"/>
  <c r="C19" i="40"/>
  <c r="C18" i="40"/>
  <c r="I8" i="50"/>
  <c r="I8" i="40"/>
  <c r="I40" i="41" l="1"/>
  <c r="J35" i="41"/>
  <c r="I34" i="47"/>
  <c r="K36" i="41"/>
  <c r="J36" i="41" s="1"/>
  <c r="I33" i="47"/>
  <c r="I32" i="47" l="1"/>
  <c r="J33" i="41"/>
  <c r="J40" i="41" s="1"/>
  <c r="K33" i="41"/>
  <c r="E7" i="50"/>
  <c r="D27" i="43" l="1"/>
  <c r="D28" i="43"/>
  <c r="I47" i="49"/>
  <c r="I46" i="49"/>
  <c r="I45" i="49"/>
  <c r="I44" i="49"/>
  <c r="I43" i="49"/>
  <c r="E33" i="48"/>
  <c r="G29" i="49"/>
  <c r="E45" i="43" s="1"/>
  <c r="E47" i="43" s="1"/>
  <c r="G30" i="49"/>
  <c r="F46" i="43" s="1"/>
  <c r="F47" i="43" s="1"/>
  <c r="I42" i="49" l="1"/>
  <c r="H45" i="43"/>
  <c r="I46" i="43"/>
  <c r="I44" i="43"/>
  <c r="H44" i="43"/>
  <c r="H46" i="43"/>
  <c r="I45" i="43"/>
  <c r="I48" i="41"/>
  <c r="J48" i="41" s="1"/>
  <c r="I47" i="41"/>
  <c r="I46" i="41"/>
  <c r="I45" i="41"/>
  <c r="G29" i="41"/>
  <c r="G30" i="41"/>
  <c r="H5" i="50"/>
  <c r="H4" i="50"/>
  <c r="F16" i="50" s="1"/>
  <c r="I52" i="41" l="1"/>
  <c r="F37" i="50"/>
  <c r="D4" i="43"/>
  <c r="G31" i="41"/>
  <c r="G28" i="50" l="1"/>
  <c r="H5" i="40"/>
  <c r="H4" i="40"/>
  <c r="F16" i="40" s="1"/>
  <c r="F37" i="40" l="1"/>
  <c r="W60" i="36"/>
  <c r="X69" i="36"/>
  <c r="W29" i="36"/>
  <c r="H16" i="40" l="1"/>
  <c r="H19" i="40"/>
  <c r="H28" i="40" s="1"/>
  <c r="K20" i="40"/>
  <c r="K19" i="40"/>
  <c r="E18" i="40"/>
  <c r="K18" i="40" s="1"/>
  <c r="G28" i="40"/>
  <c r="K18" i="50"/>
  <c r="K27" i="50"/>
  <c r="K26" i="50"/>
  <c r="K25" i="50"/>
  <c r="K24" i="50"/>
  <c r="K23" i="50"/>
  <c r="K22" i="50"/>
  <c r="K21" i="50"/>
  <c r="L21" i="50" s="1"/>
  <c r="K20" i="50"/>
  <c r="K19" i="50"/>
  <c r="K28" i="40" l="1"/>
  <c r="I52" i="49"/>
  <c r="I59" i="48"/>
  <c r="K28" i="50"/>
  <c r="H16" i="50" l="1"/>
  <c r="J76" i="49" s="1"/>
  <c r="J79" i="49" s="1"/>
  <c r="O76" i="49"/>
  <c r="N76" i="49"/>
  <c r="M76" i="49"/>
  <c r="L76" i="49"/>
  <c r="P74" i="49"/>
  <c r="P73" i="49"/>
  <c r="P68" i="49"/>
  <c r="O68" i="49"/>
  <c r="N68" i="49"/>
  <c r="M68" i="49"/>
  <c r="L68" i="49"/>
  <c r="P62" i="49"/>
  <c r="P61" i="49"/>
  <c r="P60" i="49"/>
  <c r="O59" i="49"/>
  <c r="N59" i="49"/>
  <c r="M59" i="49"/>
  <c r="L59" i="49"/>
  <c r="P58" i="49"/>
  <c r="P57" i="49"/>
  <c r="P56" i="49"/>
  <c r="P55" i="49"/>
  <c r="O54" i="49"/>
  <c r="O63" i="49" s="1"/>
  <c r="N54" i="49"/>
  <c r="N63" i="49" s="1"/>
  <c r="M54" i="49"/>
  <c r="M63" i="49" s="1"/>
  <c r="L54" i="49"/>
  <c r="L63" i="49" s="1"/>
  <c r="O53" i="49"/>
  <c r="N53" i="49"/>
  <c r="M53" i="49"/>
  <c r="L53" i="49"/>
  <c r="P48" i="49"/>
  <c r="P47" i="49"/>
  <c r="P46" i="49"/>
  <c r="P45" i="49"/>
  <c r="P44" i="49"/>
  <c r="P43" i="49"/>
  <c r="P42" i="49"/>
  <c r="P41" i="49"/>
  <c r="P40" i="49"/>
  <c r="O39" i="49"/>
  <c r="N39" i="49"/>
  <c r="M39" i="49"/>
  <c r="L39" i="49"/>
  <c r="O33" i="49"/>
  <c r="N33" i="49"/>
  <c r="M33" i="49"/>
  <c r="L33" i="49"/>
  <c r="O31" i="49"/>
  <c r="N31" i="49"/>
  <c r="M31" i="49"/>
  <c r="L31" i="49"/>
  <c r="G31" i="49"/>
  <c r="P30" i="49"/>
  <c r="P29" i="49"/>
  <c r="P28" i="49"/>
  <c r="H28" i="49"/>
  <c r="I28" i="49" s="1"/>
  <c r="U27" i="49"/>
  <c r="T27" i="49"/>
  <c r="S27" i="49"/>
  <c r="R27" i="49"/>
  <c r="O26" i="49"/>
  <c r="N26" i="49"/>
  <c r="M26" i="49"/>
  <c r="L26" i="49"/>
  <c r="R25" i="49"/>
  <c r="P25" i="49"/>
  <c r="P24" i="49"/>
  <c r="P23" i="49"/>
  <c r="P22" i="49"/>
  <c r="P21" i="49"/>
  <c r="O19" i="49"/>
  <c r="N19" i="49"/>
  <c r="M19" i="49"/>
  <c r="L19" i="49"/>
  <c r="P18" i="49"/>
  <c r="P17" i="49"/>
  <c r="P16" i="49"/>
  <c r="P15" i="49"/>
  <c r="R14" i="49"/>
  <c r="G33" i="48"/>
  <c r="F33" i="48"/>
  <c r="K27" i="48"/>
  <c r="K28" i="49" l="1"/>
  <c r="J28" i="49" s="1"/>
  <c r="I55" i="48"/>
  <c r="I84" i="49" s="1"/>
  <c r="I32" i="48"/>
  <c r="P59" i="49"/>
  <c r="P19" i="49"/>
  <c r="P26" i="49"/>
  <c r="P76" i="49"/>
  <c r="P39" i="49"/>
  <c r="N51" i="49"/>
  <c r="N66" i="49" s="1"/>
  <c r="N79" i="49" s="1"/>
  <c r="O13" i="49"/>
  <c r="P54" i="49"/>
  <c r="M51" i="49"/>
  <c r="M66" i="49" s="1"/>
  <c r="M79" i="49" s="1"/>
  <c r="P31" i="49"/>
  <c r="L51" i="49"/>
  <c r="L66" i="49" s="1"/>
  <c r="L79" i="49" s="1"/>
  <c r="L13" i="49"/>
  <c r="I76" i="49"/>
  <c r="N13" i="49"/>
  <c r="M13" i="49"/>
  <c r="O51" i="49"/>
  <c r="O66" i="49" s="1"/>
  <c r="O79" i="49" s="1"/>
  <c r="I28" i="48"/>
  <c r="I58" i="49"/>
  <c r="P33" i="49"/>
  <c r="K46" i="49"/>
  <c r="J46" i="49" s="1"/>
  <c r="K44" i="49"/>
  <c r="J44" i="49" s="1"/>
  <c r="K47" i="49"/>
  <c r="J47" i="49" s="1"/>
  <c r="K51" i="49"/>
  <c r="J51" i="49" s="1"/>
  <c r="K45" i="49"/>
  <c r="J45" i="49" s="1"/>
  <c r="K43" i="49"/>
  <c r="P63" i="49" l="1"/>
  <c r="Q33" i="49"/>
  <c r="P13" i="49"/>
  <c r="P51" i="49"/>
  <c r="P66" i="49" s="1"/>
  <c r="P79" i="49" s="1"/>
  <c r="K9" i="51"/>
  <c r="J7" i="41" s="1"/>
  <c r="K58" i="49"/>
  <c r="K42" i="49"/>
  <c r="Q42" i="49" s="1"/>
  <c r="J43" i="49"/>
  <c r="J42" i="49" s="1"/>
  <c r="J52" i="49" s="1"/>
  <c r="I40" i="49"/>
  <c r="K52" i="49" l="1"/>
  <c r="J40" i="49"/>
  <c r="I43" i="48" l="1"/>
  <c r="AM71" i="39"/>
  <c r="AL71" i="39" s="1"/>
  <c r="K22" i="51" l="1"/>
  <c r="J43" i="48"/>
  <c r="G33" i="47"/>
  <c r="F33" i="47"/>
  <c r="E33" i="47"/>
  <c r="H33" i="48" l="1"/>
  <c r="H33" i="47"/>
  <c r="H6" i="45" l="1"/>
  <c r="K27" i="47" l="1"/>
  <c r="H8" i="45" l="1"/>
  <c r="I8" i="45" s="1"/>
  <c r="H7" i="45" l="1"/>
  <c r="I7" i="45" l="1"/>
  <c r="H27" i="45"/>
  <c r="O33" i="41"/>
  <c r="N33" i="41"/>
  <c r="M33" i="41"/>
  <c r="L33" i="41"/>
  <c r="D23" i="43" l="1"/>
  <c r="F22" i="43"/>
  <c r="E21" i="43"/>
  <c r="F20" i="43"/>
  <c r="E23" i="43" l="1"/>
  <c r="F23" i="43"/>
  <c r="C6" i="45" l="1"/>
  <c r="AK131" i="39" l="1"/>
  <c r="AK103" i="39"/>
  <c r="AK102" i="39"/>
  <c r="AK101" i="39"/>
  <c r="AK100" i="39"/>
  <c r="AK99" i="39"/>
  <c r="AK98" i="39"/>
  <c r="AK97" i="39"/>
  <c r="AK96" i="39"/>
  <c r="AK95" i="39"/>
  <c r="AK94" i="39"/>
  <c r="AK82" i="39"/>
  <c r="AK81" i="39"/>
  <c r="AK80" i="39"/>
  <c r="AK79" i="39"/>
  <c r="AK78" i="39"/>
  <c r="AK77" i="39"/>
  <c r="AK76" i="39"/>
  <c r="AK74" i="39"/>
  <c r="AK73" i="39"/>
  <c r="AK72" i="39"/>
  <c r="AK71" i="39"/>
  <c r="AK30" i="39"/>
  <c r="AK31" i="39"/>
  <c r="AK32" i="39"/>
  <c r="AK33" i="39"/>
  <c r="AK34" i="39"/>
  <c r="AK35" i="39"/>
  <c r="AK36" i="39"/>
  <c r="AK37" i="39"/>
  <c r="AK38" i="39"/>
  <c r="AK69" i="39"/>
  <c r="AK10" i="39"/>
  <c r="AK11" i="39"/>
  <c r="AK12" i="39"/>
  <c r="AK13" i="39"/>
  <c r="AK14" i="39"/>
  <c r="AK15" i="39"/>
  <c r="AK16" i="39"/>
  <c r="AK17" i="39"/>
  <c r="AK18" i="39"/>
  <c r="AK19" i="39"/>
  <c r="AK20" i="39"/>
  <c r="AK21" i="39"/>
  <c r="F37" i="43" l="1"/>
  <c r="E37" i="43"/>
  <c r="D37" i="43"/>
  <c r="F13" i="43"/>
  <c r="D13" i="43"/>
  <c r="F40" i="43"/>
  <c r="E40" i="43"/>
  <c r="D40" i="43"/>
  <c r="D34" i="43"/>
  <c r="F38" i="43"/>
  <c r="D38" i="43"/>
  <c r="F14" i="43"/>
  <c r="E38" i="43"/>
  <c r="F39" i="43"/>
  <c r="D39" i="43"/>
  <c r="E39" i="43"/>
  <c r="F10" i="43"/>
  <c r="E32" i="43"/>
  <c r="F33" i="43"/>
  <c r="E31" i="43"/>
  <c r="D10" i="43"/>
  <c r="F7" i="43"/>
  <c r="D32" i="43"/>
  <c r="F34" i="43"/>
  <c r="E34" i="43"/>
  <c r="D7" i="43"/>
  <c r="E8" i="43"/>
  <c r="E7" i="43"/>
  <c r="F9" i="43"/>
  <c r="F32" i="43"/>
  <c r="E9" i="43"/>
  <c r="D9" i="43"/>
  <c r="E10" i="43"/>
  <c r="D31" i="43"/>
  <c r="E33" i="43"/>
  <c r="I33" i="43" s="1"/>
  <c r="F8" i="43"/>
  <c r="D33" i="43"/>
  <c r="F31" i="43"/>
  <c r="D8" i="43"/>
  <c r="F16" i="43"/>
  <c r="D16" i="43"/>
  <c r="F15" i="43"/>
  <c r="E41" i="43"/>
  <c r="F41" i="43"/>
  <c r="H41" i="43" s="1"/>
  <c r="H33" i="43" l="1"/>
  <c r="H39" i="43"/>
  <c r="H32" i="43"/>
  <c r="I32" i="43"/>
  <c r="H37" i="43"/>
  <c r="I39" i="43"/>
  <c r="I38" i="43"/>
  <c r="H38" i="43"/>
  <c r="H40" i="43"/>
  <c r="I40" i="43"/>
  <c r="I41" i="43"/>
  <c r="I31" i="43"/>
  <c r="H31" i="43"/>
  <c r="I34" i="43"/>
  <c r="K18" i="49" s="1"/>
  <c r="I37" i="43"/>
  <c r="H34" i="43"/>
  <c r="J18" i="49" s="1"/>
  <c r="D35" i="43"/>
  <c r="E35" i="43"/>
  <c r="E42" i="43"/>
  <c r="D42" i="43"/>
  <c r="F42" i="43"/>
  <c r="F35" i="43"/>
  <c r="E11" i="43"/>
  <c r="D11" i="43"/>
  <c r="D48" i="43" l="1"/>
  <c r="F48" i="43"/>
  <c r="E48" i="43"/>
  <c r="Q131" i="39"/>
  <c r="Q69" i="39"/>
  <c r="AA70" i="39" l="1"/>
  <c r="AA133" i="39" s="1"/>
  <c r="AA8" i="39" l="1"/>
  <c r="S131" i="39" l="1"/>
  <c r="S103" i="39"/>
  <c r="S102" i="39"/>
  <c r="S101" i="39"/>
  <c r="S100" i="39"/>
  <c r="S69" i="39"/>
  <c r="Q17" i="39" l="1"/>
  <c r="S17" i="39" s="1"/>
  <c r="Q97" i="39"/>
  <c r="S97" i="39" s="1"/>
  <c r="Q35" i="39"/>
  <c r="Q37" i="39"/>
  <c r="Q98" i="39"/>
  <c r="S98" i="39" s="1"/>
  <c r="Q36" i="39"/>
  <c r="Q34" i="39"/>
  <c r="Q38" i="39"/>
  <c r="S38" i="39" s="1"/>
  <c r="Q99" i="39"/>
  <c r="S99" i="39" s="1"/>
  <c r="Q32" i="39"/>
  <c r="Q33" i="39"/>
  <c r="Q100" i="39"/>
  <c r="Q101" i="39"/>
  <c r="Q81" i="39"/>
  <c r="Q102" i="39"/>
  <c r="Q95" i="39"/>
  <c r="S95" i="39" s="1"/>
  <c r="Q103" i="39"/>
  <c r="Q20" i="39"/>
  <c r="Q96" i="39"/>
  <c r="S96" i="39" s="1"/>
  <c r="Q75" i="39"/>
  <c r="W75" i="39" s="1"/>
  <c r="Q31" i="39"/>
  <c r="Q21" i="39"/>
  <c r="S34" i="39" l="1"/>
  <c r="V34" i="39"/>
  <c r="W34" i="39"/>
  <c r="S36" i="39"/>
  <c r="V36" i="39"/>
  <c r="W36" i="39"/>
  <c r="W31" i="39"/>
  <c r="S37" i="39"/>
  <c r="W37" i="39"/>
  <c r="V37" i="39"/>
  <c r="S33" i="39"/>
  <c r="W33" i="39"/>
  <c r="V33" i="39"/>
  <c r="S35" i="39"/>
  <c r="W35" i="39"/>
  <c r="V35" i="39"/>
  <c r="V32" i="39"/>
  <c r="W32" i="39"/>
  <c r="S81" i="39"/>
  <c r="V81" i="39"/>
  <c r="W81" i="39"/>
  <c r="V17" i="39"/>
  <c r="W17" i="39" s="1"/>
  <c r="S21" i="39"/>
  <c r="V21" i="39"/>
  <c r="W21" i="39" s="1"/>
  <c r="S31" i="39"/>
  <c r="V31" i="39"/>
  <c r="S75" i="39"/>
  <c r="V75" i="39"/>
  <c r="S20" i="39"/>
  <c r="V20" i="39"/>
  <c r="W20" i="39" s="1"/>
  <c r="L71" i="41"/>
  <c r="L86" i="41" s="1"/>
  <c r="M71" i="41"/>
  <c r="M86" i="41" s="1"/>
  <c r="N71" i="41"/>
  <c r="N86" i="41" s="1"/>
  <c r="O71" i="41"/>
  <c r="O86" i="41" s="1"/>
  <c r="P71" i="41"/>
  <c r="P86" i="41" s="1"/>
  <c r="AB131" i="39" l="1"/>
  <c r="AB103" i="39"/>
  <c r="AB102" i="39"/>
  <c r="AB101" i="39"/>
  <c r="AB100" i="39"/>
  <c r="AB99" i="39"/>
  <c r="AB98" i="39"/>
  <c r="AB97" i="39"/>
  <c r="AB96" i="39"/>
  <c r="AB95" i="39"/>
  <c r="AB69" i="39"/>
  <c r="AB38" i="39"/>
  <c r="AB37" i="39"/>
  <c r="AB33" i="39"/>
  <c r="AB34" i="39"/>
  <c r="AB35" i="39"/>
  <c r="AB36" i="39"/>
  <c r="O79" i="41" l="1"/>
  <c r="N79" i="41"/>
  <c r="M79" i="41"/>
  <c r="L79" i="41"/>
  <c r="P77" i="41"/>
  <c r="P76" i="41"/>
  <c r="P65" i="41"/>
  <c r="P64" i="41"/>
  <c r="P63" i="41"/>
  <c r="O62" i="41"/>
  <c r="N62" i="41"/>
  <c r="M62" i="41"/>
  <c r="L62" i="41"/>
  <c r="P61" i="41"/>
  <c r="P60" i="41"/>
  <c r="P59" i="41"/>
  <c r="P58" i="41"/>
  <c r="O57" i="41"/>
  <c r="O66" i="41" s="1"/>
  <c r="N57" i="41"/>
  <c r="M57" i="41"/>
  <c r="M66" i="41" s="1"/>
  <c r="L57" i="41"/>
  <c r="L66" i="41" s="1"/>
  <c r="O56" i="41"/>
  <c r="N56" i="41"/>
  <c r="M56" i="41"/>
  <c r="L56" i="41"/>
  <c r="P51" i="41"/>
  <c r="P50" i="41"/>
  <c r="P48" i="41"/>
  <c r="P47" i="41"/>
  <c r="P46" i="41"/>
  <c r="P45" i="41"/>
  <c r="P44" i="41"/>
  <c r="P43" i="41"/>
  <c r="P33" i="41" s="1"/>
  <c r="O42" i="41"/>
  <c r="N42" i="41"/>
  <c r="M42" i="41"/>
  <c r="L42" i="41"/>
  <c r="O31" i="41"/>
  <c r="N31" i="41"/>
  <c r="M31" i="41"/>
  <c r="L31" i="41"/>
  <c r="P30" i="41"/>
  <c r="P29" i="41"/>
  <c r="P28" i="41"/>
  <c r="U27" i="41"/>
  <c r="T27" i="41"/>
  <c r="S27" i="41"/>
  <c r="R27" i="41"/>
  <c r="O26" i="41"/>
  <c r="N26" i="41"/>
  <c r="M26" i="41"/>
  <c r="L26" i="41"/>
  <c r="P25" i="41"/>
  <c r="P24" i="41"/>
  <c r="P23" i="41"/>
  <c r="P22" i="41"/>
  <c r="P21" i="41"/>
  <c r="O19" i="41"/>
  <c r="N19" i="41"/>
  <c r="M19" i="41"/>
  <c r="L19" i="41"/>
  <c r="P18" i="41"/>
  <c r="P17" i="41"/>
  <c r="P16" i="41"/>
  <c r="P15" i="41"/>
  <c r="I77" i="49" l="1"/>
  <c r="C21" i="45"/>
  <c r="I59" i="47"/>
  <c r="D3" i="43"/>
  <c r="L13" i="41"/>
  <c r="I77" i="41"/>
  <c r="P62" i="41"/>
  <c r="P79" i="41"/>
  <c r="O13" i="41"/>
  <c r="M13" i="41"/>
  <c r="P42" i="41"/>
  <c r="N66" i="41"/>
  <c r="P19" i="41"/>
  <c r="N13" i="41"/>
  <c r="P26" i="41"/>
  <c r="L53" i="41"/>
  <c r="L69" i="41" s="1"/>
  <c r="L82" i="41" s="1"/>
  <c r="P31" i="41"/>
  <c r="M53" i="41"/>
  <c r="M69" i="41" s="1"/>
  <c r="M82" i="41" s="1"/>
  <c r="P57" i="41"/>
  <c r="N53" i="41"/>
  <c r="O53" i="41"/>
  <c r="O69" i="41" s="1"/>
  <c r="O82" i="41" s="1"/>
  <c r="I21" i="43" l="1"/>
  <c r="H21" i="43"/>
  <c r="I20" i="43"/>
  <c r="H20" i="43"/>
  <c r="H7" i="43"/>
  <c r="J15" i="41" s="1"/>
  <c r="I7" i="43"/>
  <c r="K15" i="41" s="1"/>
  <c r="I79" i="49"/>
  <c r="K11" i="51" s="1"/>
  <c r="K31" i="51" s="1"/>
  <c r="K79" i="41"/>
  <c r="K80" i="41" s="1"/>
  <c r="K17" i="49"/>
  <c r="K15" i="49"/>
  <c r="J15" i="49"/>
  <c r="J17" i="49"/>
  <c r="J16" i="49"/>
  <c r="K16" i="49"/>
  <c r="I28" i="47"/>
  <c r="K80" i="49"/>
  <c r="R70" i="39"/>
  <c r="S32" i="39"/>
  <c r="N69" i="41"/>
  <c r="N82" i="41" s="1"/>
  <c r="P53" i="41"/>
  <c r="P66" i="41"/>
  <c r="P13" i="41"/>
  <c r="G20" i="43" l="1"/>
  <c r="I55" i="47"/>
  <c r="G45" i="43"/>
  <c r="G41" i="43"/>
  <c r="G25" i="49" s="1"/>
  <c r="G38" i="43"/>
  <c r="G22" i="49" s="1"/>
  <c r="I42" i="43"/>
  <c r="G31" i="43"/>
  <c r="H35" i="43"/>
  <c r="H42" i="43"/>
  <c r="G37" i="43"/>
  <c r="G39" i="43"/>
  <c r="G23" i="49" s="1"/>
  <c r="I35" i="43"/>
  <c r="H47" i="43"/>
  <c r="G44" i="43"/>
  <c r="G40" i="43"/>
  <c r="G24" i="49" s="1"/>
  <c r="G46" i="43"/>
  <c r="I47" i="43"/>
  <c r="G32" i="43"/>
  <c r="G16" i="49" s="1"/>
  <c r="I16" i="49" s="1"/>
  <c r="G33" i="43"/>
  <c r="G17" i="49" s="1"/>
  <c r="I17" i="49" s="1"/>
  <c r="G34" i="43"/>
  <c r="G18" i="49" s="1"/>
  <c r="K28" i="41"/>
  <c r="J28" i="41" s="1"/>
  <c r="K43" i="41"/>
  <c r="J76" i="41"/>
  <c r="H10" i="43"/>
  <c r="K46" i="41"/>
  <c r="J46" i="41" s="1"/>
  <c r="I22" i="43"/>
  <c r="I10" i="43"/>
  <c r="K45" i="41"/>
  <c r="J45" i="41" s="1"/>
  <c r="K51" i="41"/>
  <c r="J51" i="41" s="1"/>
  <c r="K47" i="41"/>
  <c r="J47" i="41" s="1"/>
  <c r="H8" i="43"/>
  <c r="J16" i="41" s="1"/>
  <c r="K44" i="41"/>
  <c r="J44" i="41" s="1"/>
  <c r="I8" i="43"/>
  <c r="K16" i="41" s="1"/>
  <c r="H22" i="43"/>
  <c r="C12" i="45"/>
  <c r="C8" i="45" s="1"/>
  <c r="R132" i="39"/>
  <c r="R133" i="39" s="1"/>
  <c r="Q10" i="39"/>
  <c r="V10" i="39" s="1"/>
  <c r="P69" i="41"/>
  <c r="P82" i="41" s="1"/>
  <c r="H22" i="49" l="1"/>
  <c r="I22" i="49" s="1"/>
  <c r="H25" i="49"/>
  <c r="I25" i="49" s="1"/>
  <c r="H24" i="49"/>
  <c r="J24" i="49" s="1"/>
  <c r="H23" i="49"/>
  <c r="K23" i="49" s="1"/>
  <c r="J79" i="41"/>
  <c r="I76" i="41"/>
  <c r="I79" i="41" s="1"/>
  <c r="I84" i="41"/>
  <c r="J9" i="51"/>
  <c r="I7" i="41" s="1"/>
  <c r="S10" i="39"/>
  <c r="T10" i="39" s="1"/>
  <c r="W10" i="39"/>
  <c r="H48" i="43"/>
  <c r="G21" i="49"/>
  <c r="H21" i="49" s="1"/>
  <c r="G42" i="43"/>
  <c r="I48" i="43"/>
  <c r="G35" i="43"/>
  <c r="G15" i="49"/>
  <c r="I15" i="49" s="1"/>
  <c r="G47" i="43"/>
  <c r="J43" i="41"/>
  <c r="K42" i="41"/>
  <c r="E21" i="45" s="1"/>
  <c r="K40" i="41"/>
  <c r="K58" i="41"/>
  <c r="K18" i="41"/>
  <c r="R8" i="39"/>
  <c r="J18" i="41"/>
  <c r="G21" i="43"/>
  <c r="I23" i="43"/>
  <c r="G22" i="43"/>
  <c r="H23" i="43"/>
  <c r="G10" i="43"/>
  <c r="G8" i="43"/>
  <c r="Q11" i="39"/>
  <c r="K25" i="49" l="1"/>
  <c r="J22" i="49"/>
  <c r="K22" i="49"/>
  <c r="J25" i="49"/>
  <c r="I23" i="49"/>
  <c r="K24" i="49"/>
  <c r="I24" i="49"/>
  <c r="J23" i="49"/>
  <c r="I21" i="49"/>
  <c r="J21" i="49"/>
  <c r="K21" i="49"/>
  <c r="I53" i="47"/>
  <c r="J42" i="41"/>
  <c r="J52" i="41" s="1"/>
  <c r="G48" i="43"/>
  <c r="Q42" i="41"/>
  <c r="Q33" i="41"/>
  <c r="G16" i="41"/>
  <c r="I16" i="41" s="1"/>
  <c r="I16" i="48"/>
  <c r="E24" i="45"/>
  <c r="J6" i="44"/>
  <c r="D24" i="45"/>
  <c r="G23" i="43"/>
  <c r="G18" i="41"/>
  <c r="I18" i="41" s="1"/>
  <c r="I18" i="47" s="1"/>
  <c r="I18" i="49"/>
  <c r="I18" i="48" s="1"/>
  <c r="K52" i="41"/>
  <c r="AM13" i="39"/>
  <c r="AL13" i="39" s="1"/>
  <c r="K6" i="44"/>
  <c r="T75" i="39"/>
  <c r="T81" i="39"/>
  <c r="AB81" i="39" s="1"/>
  <c r="T95" i="39"/>
  <c r="AM95" i="39"/>
  <c r="T17" i="39"/>
  <c r="AM20" i="39"/>
  <c r="AL20" i="39" s="1"/>
  <c r="AM21" i="39"/>
  <c r="AL21" i="39" s="1"/>
  <c r="AM30" i="39"/>
  <c r="AL30" i="39" s="1"/>
  <c r="AM31" i="39"/>
  <c r="AL31" i="39" s="1"/>
  <c r="AM32" i="39"/>
  <c r="AL32" i="39" s="1"/>
  <c r="T32" i="39"/>
  <c r="T31" i="39"/>
  <c r="T21" i="39"/>
  <c r="T20" i="39"/>
  <c r="I42" i="47" l="1"/>
  <c r="I40" i="47"/>
  <c r="I41" i="47"/>
  <c r="I6" i="44"/>
  <c r="J11" i="51"/>
  <c r="J31" i="51" s="1"/>
  <c r="C24" i="45"/>
  <c r="D21" i="45"/>
  <c r="Q12" i="39"/>
  <c r="S12" i="39" s="1"/>
  <c r="AB75" i="39"/>
  <c r="H16" i="43" s="1"/>
  <c r="S11" i="39"/>
  <c r="T11" i="39" s="1"/>
  <c r="V11" i="39"/>
  <c r="W11" i="39" s="1"/>
  <c r="C9" i="45"/>
  <c r="C10" i="45"/>
  <c r="AB32" i="39"/>
  <c r="AB20" i="39"/>
  <c r="AB17" i="39"/>
  <c r="AB21" i="39"/>
  <c r="AB31" i="39"/>
  <c r="E15" i="43" l="1"/>
  <c r="D14" i="43"/>
  <c r="I43" i="47"/>
  <c r="J22" i="51" s="1"/>
  <c r="T12" i="39"/>
  <c r="V12" i="39"/>
  <c r="W12" i="39" s="1"/>
  <c r="Q13" i="39"/>
  <c r="I17" i="43"/>
  <c r="H17" i="43"/>
  <c r="C7" i="45"/>
  <c r="AB11" i="39"/>
  <c r="Q14" i="39"/>
  <c r="AM14" i="39"/>
  <c r="AL14" i="39" s="1"/>
  <c r="N5" i="39" s="1"/>
  <c r="J43" i="47" l="1"/>
  <c r="Y8" i="39"/>
  <c r="V13" i="39"/>
  <c r="W13" i="39" s="1"/>
  <c r="S13" i="39"/>
  <c r="T13" i="39"/>
  <c r="G17" i="43"/>
  <c r="AM15" i="39"/>
  <c r="AL15" i="39" s="1"/>
  <c r="I16" i="47"/>
  <c r="S14" i="39" l="1"/>
  <c r="V14" i="39"/>
  <c r="W14" i="39" s="1"/>
  <c r="Q15" i="39"/>
  <c r="G25" i="41"/>
  <c r="H25" i="41" s="1"/>
  <c r="S25" i="49"/>
  <c r="T14" i="39"/>
  <c r="AB13" i="39"/>
  <c r="Q16" i="39"/>
  <c r="AM16" i="39"/>
  <c r="AL16" i="39" s="1"/>
  <c r="AB14" i="39"/>
  <c r="AM103" i="39"/>
  <c r="S15" i="39" l="1"/>
  <c r="T15" i="39" s="1"/>
  <c r="S16" i="39"/>
  <c r="T16" i="39"/>
  <c r="V15" i="39"/>
  <c r="W15" i="39" s="1"/>
  <c r="V16" i="39"/>
  <c r="W16" i="39" s="1"/>
  <c r="I25" i="48"/>
  <c r="Q25" i="49"/>
  <c r="AM17" i="39"/>
  <c r="AL17" i="39" s="1"/>
  <c r="O3" i="39" s="1"/>
  <c r="T131" i="39"/>
  <c r="T100" i="39"/>
  <c r="T99" i="39"/>
  <c r="T98" i="39"/>
  <c r="T97" i="39"/>
  <c r="AM100" i="39"/>
  <c r="AM99" i="39"/>
  <c r="AM98" i="39"/>
  <c r="AM97" i="39"/>
  <c r="AM96" i="39"/>
  <c r="AM131" i="39"/>
  <c r="AM102" i="39"/>
  <c r="AM101" i="39"/>
  <c r="AM69" i="39"/>
  <c r="T69" i="39"/>
  <c r="AM36" i="39"/>
  <c r="T36" i="39"/>
  <c r="AM35" i="39"/>
  <c r="AL35" i="39" s="1"/>
  <c r="T35" i="39"/>
  <c r="AM34" i="39"/>
  <c r="AL34" i="39" s="1"/>
  <c r="T34" i="39"/>
  <c r="AM33" i="39"/>
  <c r="AL33" i="39" s="1"/>
  <c r="T33" i="39"/>
  <c r="AM12" i="39"/>
  <c r="AL12" i="39" s="1"/>
  <c r="AM11" i="39"/>
  <c r="AL11" i="39" s="1"/>
  <c r="M3" i="39" l="1"/>
  <c r="M4" i="39"/>
  <c r="AM18" i="39"/>
  <c r="AL18" i="39" s="1"/>
  <c r="AB16" i="39"/>
  <c r="D15" i="43" s="1"/>
  <c r="D18" i="43" s="1"/>
  <c r="D24" i="43" s="1"/>
  <c r="T103" i="39"/>
  <c r="T102" i="39"/>
  <c r="T101" i="39"/>
  <c r="Q18" i="39" l="1"/>
  <c r="AM19" i="39"/>
  <c r="T38" i="39"/>
  <c r="T96" i="39"/>
  <c r="AM38" i="39"/>
  <c r="AM37" i="39"/>
  <c r="AM10" i="39"/>
  <c r="AL10" i="39" l="1"/>
  <c r="AL19" i="39"/>
  <c r="S18" i="39"/>
  <c r="V18" i="39"/>
  <c r="W18" i="39" s="1"/>
  <c r="T18" i="39"/>
  <c r="Q19" i="39"/>
  <c r="S19" i="39" s="1"/>
  <c r="AM70" i="39"/>
  <c r="T37" i="39"/>
  <c r="M5" i="39" l="1"/>
  <c r="N4" i="39"/>
  <c r="O4" i="39"/>
  <c r="AL70" i="39"/>
  <c r="K70" i="39" s="1"/>
  <c r="Q70" i="39"/>
  <c r="V19" i="39"/>
  <c r="W19" i="39" s="1"/>
  <c r="W70" i="39" s="1"/>
  <c r="Q71" i="39"/>
  <c r="T19" i="39"/>
  <c r="AB18" i="39"/>
  <c r="AM72" i="39"/>
  <c r="AL72" i="39" s="1"/>
  <c r="AB19" i="39"/>
  <c r="E14" i="43" l="1"/>
  <c r="W71" i="39"/>
  <c r="T70" i="39"/>
  <c r="S71" i="39"/>
  <c r="V71" i="39"/>
  <c r="T71" i="39"/>
  <c r="Q72" i="39"/>
  <c r="S70" i="39"/>
  <c r="V70" i="39"/>
  <c r="AB10" i="39"/>
  <c r="AB70" i="39" s="1"/>
  <c r="T72" i="39" l="1"/>
  <c r="W72" i="39"/>
  <c r="AB72" i="39"/>
  <c r="S72" i="39"/>
  <c r="V72" i="39"/>
  <c r="Q73" i="39"/>
  <c r="W73" i="39" s="1"/>
  <c r="AM76" i="39"/>
  <c r="AL76" i="39" s="1"/>
  <c r="AM80" i="39"/>
  <c r="AL80" i="39" s="1"/>
  <c r="H14" i="43"/>
  <c r="L3" i="39" l="1"/>
  <c r="L5" i="39"/>
  <c r="D18" i="40" s="1"/>
  <c r="S73" i="39"/>
  <c r="V73" i="39"/>
  <c r="Q76" i="39"/>
  <c r="T73" i="39"/>
  <c r="Q80" i="39"/>
  <c r="S80" i="39" s="1"/>
  <c r="Q74" i="39"/>
  <c r="W74" i="39" s="1"/>
  <c r="AM79" i="39"/>
  <c r="AL79" i="39" s="1"/>
  <c r="AM81" i="39"/>
  <c r="AL81" i="39" s="1"/>
  <c r="AM77" i="39"/>
  <c r="AL77" i="39" s="1"/>
  <c r="AM78" i="39"/>
  <c r="AL78" i="39" s="1"/>
  <c r="D28" i="50" l="1"/>
  <c r="W80" i="39"/>
  <c r="V80" i="39"/>
  <c r="V76" i="39"/>
  <c r="W76" i="39"/>
  <c r="T80" i="39"/>
  <c r="S74" i="39"/>
  <c r="V74" i="39"/>
  <c r="S76" i="39"/>
  <c r="T76" i="39"/>
  <c r="Q79" i="39"/>
  <c r="S79" i="39" s="1"/>
  <c r="T74" i="39"/>
  <c r="Q78" i="39"/>
  <c r="W78" i="39" s="1"/>
  <c r="Q77" i="39"/>
  <c r="W77" i="39" s="1"/>
  <c r="AB74" i="39"/>
  <c r="E16" i="43" s="1"/>
  <c r="I16" i="43" s="1"/>
  <c r="AB80" i="39"/>
  <c r="AB76" i="39"/>
  <c r="AM82" i="39"/>
  <c r="AL82" i="39" s="1"/>
  <c r="L4" i="39" s="1"/>
  <c r="D19" i="40" s="1"/>
  <c r="AB73" i="39"/>
  <c r="J25" i="41"/>
  <c r="K25" i="41"/>
  <c r="I25" i="41"/>
  <c r="S25" i="41"/>
  <c r="H61" i="49" l="1"/>
  <c r="H65" i="49"/>
  <c r="H60" i="49"/>
  <c r="H64" i="49"/>
  <c r="H63" i="49"/>
  <c r="H59" i="49"/>
  <c r="AL132" i="39"/>
  <c r="T79" i="39"/>
  <c r="AB79" i="39" s="1"/>
  <c r="H13" i="43"/>
  <c r="E13" i="43"/>
  <c r="I13" i="43" s="1"/>
  <c r="I25" i="47"/>
  <c r="Q25" i="41"/>
  <c r="S78" i="39"/>
  <c r="W79" i="39"/>
  <c r="V79" i="39"/>
  <c r="S77" i="39"/>
  <c r="V77" i="39"/>
  <c r="T78" i="39"/>
  <c r="V78" i="39"/>
  <c r="T77" i="39"/>
  <c r="Q82" i="39"/>
  <c r="S82" i="39" s="1"/>
  <c r="F18" i="43"/>
  <c r="I14" i="43"/>
  <c r="G14" i="43" s="1"/>
  <c r="AB77" i="39"/>
  <c r="AM94" i="39"/>
  <c r="AM132" i="39" s="1"/>
  <c r="G13" i="43" l="1"/>
  <c r="T82" i="39"/>
  <c r="V82" i="39"/>
  <c r="V132" i="39" s="1"/>
  <c r="W82" i="39"/>
  <c r="W132" i="39" s="1"/>
  <c r="X8" i="39"/>
  <c r="Q94" i="39"/>
  <c r="Q132" i="39" s="1"/>
  <c r="Q8" i="39" s="1"/>
  <c r="H15" i="43"/>
  <c r="I15" i="43"/>
  <c r="G22" i="41"/>
  <c r="H22" i="41" s="1"/>
  <c r="S94" i="39"/>
  <c r="T94" i="39"/>
  <c r="AB82" i="39"/>
  <c r="I22" i="41" l="1"/>
  <c r="I22" i="47" s="1"/>
  <c r="J22" i="41"/>
  <c r="I19" i="40"/>
  <c r="T132" i="39"/>
  <c r="T8" i="39" s="1"/>
  <c r="W8" i="39"/>
  <c r="W133" i="39"/>
  <c r="Q133" i="39"/>
  <c r="V8" i="39"/>
  <c r="V133" i="39"/>
  <c r="G15" i="43"/>
  <c r="I23" i="48" s="1"/>
  <c r="H18" i="43"/>
  <c r="G21" i="41"/>
  <c r="H21" i="41" s="1"/>
  <c r="I21" i="41" s="1"/>
  <c r="K22" i="41"/>
  <c r="AB94" i="39"/>
  <c r="AB132" i="39" s="1"/>
  <c r="AB133" i="39" s="1"/>
  <c r="I9" i="43"/>
  <c r="K17" i="41" s="1"/>
  <c r="K5" i="39"/>
  <c r="K3" i="39"/>
  <c r="K4" i="39"/>
  <c r="D20" i="40" s="1"/>
  <c r="I28" i="40" s="1"/>
  <c r="S132" i="39"/>
  <c r="S8" i="39" s="1"/>
  <c r="D28" i="40" l="1"/>
  <c r="L19" i="40"/>
  <c r="I20" i="40"/>
  <c r="L20" i="40"/>
  <c r="T133" i="39"/>
  <c r="I19" i="50"/>
  <c r="L19" i="50"/>
  <c r="I20" i="50"/>
  <c r="L20" i="50"/>
  <c r="I18" i="50"/>
  <c r="L18" i="50"/>
  <c r="I18" i="40"/>
  <c r="L18" i="40"/>
  <c r="G23" i="41"/>
  <c r="I21" i="48"/>
  <c r="K132" i="39"/>
  <c r="K133" i="39" s="1"/>
  <c r="F11" i="43"/>
  <c r="F24" i="43" s="1"/>
  <c r="K19" i="49"/>
  <c r="H9" i="43"/>
  <c r="G7" i="43"/>
  <c r="G15" i="41" s="1"/>
  <c r="I15" i="41" s="1"/>
  <c r="Z8" i="39"/>
  <c r="R14" i="41"/>
  <c r="S133" i="39"/>
  <c r="H61" i="41" l="1"/>
  <c r="I61" i="41" s="1"/>
  <c r="K61" i="41" s="1"/>
  <c r="H65" i="41"/>
  <c r="I65" i="41" s="1"/>
  <c r="K65" i="41" s="1"/>
  <c r="H60" i="41"/>
  <c r="I60" i="41" s="1"/>
  <c r="K60" i="41" s="1"/>
  <c r="J60" i="41" s="1"/>
  <c r="H63" i="41"/>
  <c r="I63" i="41" s="1"/>
  <c r="H59" i="41"/>
  <c r="I59" i="41" s="1"/>
  <c r="H64" i="41"/>
  <c r="I64" i="41" s="1"/>
  <c r="K64" i="41" s="1"/>
  <c r="J64" i="41" s="1"/>
  <c r="L28" i="40"/>
  <c r="I64" i="49"/>
  <c r="H23" i="41"/>
  <c r="I23" i="41" s="1"/>
  <c r="I23" i="47" s="1"/>
  <c r="I61" i="49"/>
  <c r="K61" i="49" s="1"/>
  <c r="I63" i="49"/>
  <c r="K63" i="49" s="1"/>
  <c r="I60" i="49"/>
  <c r="I65" i="49"/>
  <c r="I59" i="49"/>
  <c r="K59" i="49" s="1"/>
  <c r="G9" i="43"/>
  <c r="J17" i="41"/>
  <c r="J19" i="41" s="1"/>
  <c r="AB8" i="39"/>
  <c r="L28" i="50"/>
  <c r="E18" i="43"/>
  <c r="E24" i="43" s="1"/>
  <c r="I22" i="48"/>
  <c r="J19" i="49"/>
  <c r="Q19" i="49"/>
  <c r="I28" i="50"/>
  <c r="I21" i="47"/>
  <c r="J21" i="41"/>
  <c r="K21" i="41"/>
  <c r="K6" i="39"/>
  <c r="K19" i="41"/>
  <c r="Q19" i="41" s="1"/>
  <c r="I11" i="43"/>
  <c r="I15" i="47"/>
  <c r="H11" i="43"/>
  <c r="H24" i="43" s="1"/>
  <c r="D27" i="45" s="1"/>
  <c r="D28" i="45" s="1"/>
  <c r="I17" i="48"/>
  <c r="K60" i="49" l="1"/>
  <c r="J60" i="49" s="1"/>
  <c r="K65" i="49"/>
  <c r="J65" i="49" s="1"/>
  <c r="K64" i="49"/>
  <c r="J23" i="41"/>
  <c r="K23" i="41"/>
  <c r="J61" i="49"/>
  <c r="I57" i="49"/>
  <c r="I62" i="49"/>
  <c r="K59" i="41"/>
  <c r="K57" i="41" s="1"/>
  <c r="J63" i="49"/>
  <c r="J65" i="41"/>
  <c r="I62" i="41"/>
  <c r="K63" i="41"/>
  <c r="J63" i="41" s="1"/>
  <c r="I57" i="41"/>
  <c r="J59" i="49"/>
  <c r="J61" i="41"/>
  <c r="I18" i="43"/>
  <c r="I24" i="43" s="1"/>
  <c r="E27" i="45" s="1"/>
  <c r="E28" i="45" s="1"/>
  <c r="G16" i="43"/>
  <c r="I15" i="48"/>
  <c r="I19" i="48" s="1"/>
  <c r="I19" i="49"/>
  <c r="G19" i="49"/>
  <c r="G17" i="41"/>
  <c r="J11" i="44"/>
  <c r="G11" i="43"/>
  <c r="K57" i="49" l="1"/>
  <c r="K62" i="49"/>
  <c r="J64" i="49"/>
  <c r="J62" i="49" s="1"/>
  <c r="J62" i="41"/>
  <c r="I66" i="49"/>
  <c r="I67" i="49" s="1"/>
  <c r="J57" i="49"/>
  <c r="J59" i="41"/>
  <c r="J57" i="41" s="1"/>
  <c r="I66" i="41"/>
  <c r="I67" i="41" s="1"/>
  <c r="K62" i="41"/>
  <c r="K66" i="41" s="1"/>
  <c r="G19" i="41"/>
  <c r="I17" i="41"/>
  <c r="G26" i="49"/>
  <c r="G13" i="49" s="1"/>
  <c r="K11" i="44"/>
  <c r="G24" i="41"/>
  <c r="H24" i="41" s="1"/>
  <c r="G18" i="43"/>
  <c r="G24" i="43" s="1"/>
  <c r="H19" i="49"/>
  <c r="K66" i="49" l="1"/>
  <c r="Q66" i="49" s="1"/>
  <c r="J66" i="49"/>
  <c r="J67" i="49" s="1"/>
  <c r="C22" i="45"/>
  <c r="J66" i="41"/>
  <c r="D22" i="45" s="1"/>
  <c r="Q66" i="41"/>
  <c r="J21" i="51"/>
  <c r="K67" i="41"/>
  <c r="E22" i="45"/>
  <c r="J26" i="49"/>
  <c r="K26" i="49"/>
  <c r="Q26" i="49" s="1"/>
  <c r="C27" i="45"/>
  <c r="C28" i="45" s="1"/>
  <c r="I11" i="44"/>
  <c r="K24" i="41"/>
  <c r="G26" i="41"/>
  <c r="H30" i="49"/>
  <c r="I30" i="49" s="1"/>
  <c r="H29" i="49"/>
  <c r="I29" i="49" s="1"/>
  <c r="I19" i="41"/>
  <c r="I17" i="47"/>
  <c r="I19" i="47" s="1"/>
  <c r="H19" i="41" l="1"/>
  <c r="K67" i="49"/>
  <c r="K21" i="51"/>
  <c r="J67" i="41"/>
  <c r="K29" i="49"/>
  <c r="J29" i="49" s="1"/>
  <c r="G13" i="41"/>
  <c r="I24" i="48"/>
  <c r="I26" i="48" s="1"/>
  <c r="I26" i="49"/>
  <c r="H26" i="49" s="1"/>
  <c r="I24" i="41"/>
  <c r="I26" i="41" s="1"/>
  <c r="H26" i="41" s="1"/>
  <c r="J24" i="41"/>
  <c r="J26" i="41" s="1"/>
  <c r="K26" i="41"/>
  <c r="Q26" i="41" s="1"/>
  <c r="I29" i="48"/>
  <c r="I31" i="49"/>
  <c r="I30" i="48"/>
  <c r="K30" i="49"/>
  <c r="J30" i="49" s="1"/>
  <c r="H29" i="41" l="1"/>
  <c r="I29" i="41" s="1"/>
  <c r="I30" i="41"/>
  <c r="K30" i="41" s="1"/>
  <c r="J30" i="41" s="1"/>
  <c r="I24" i="47"/>
  <c r="I26" i="47" s="1"/>
  <c r="J31" i="49"/>
  <c r="K31" i="49"/>
  <c r="H31" i="49"/>
  <c r="I32" i="49"/>
  <c r="H13" i="49"/>
  <c r="I13" i="49"/>
  <c r="I31" i="48"/>
  <c r="I13" i="48" s="1"/>
  <c r="I38" i="48" s="1"/>
  <c r="I45" i="48" s="1"/>
  <c r="I29" i="47" l="1"/>
  <c r="K29" i="41"/>
  <c r="J29" i="41" s="1"/>
  <c r="J31" i="41" s="1"/>
  <c r="J32" i="41" s="1"/>
  <c r="I57" i="48"/>
  <c r="K37" i="51" s="1"/>
  <c r="I31" i="41"/>
  <c r="I30" i="47"/>
  <c r="I53" i="49"/>
  <c r="I41" i="49"/>
  <c r="Q31" i="49"/>
  <c r="K32" i="49"/>
  <c r="K13" i="49"/>
  <c r="J32" i="49"/>
  <c r="J13" i="49"/>
  <c r="I13" i="41" l="1"/>
  <c r="I8" i="44" s="1"/>
  <c r="I9" i="44" s="1"/>
  <c r="I31" i="47"/>
  <c r="I13" i="47" s="1"/>
  <c r="I38" i="47" s="1"/>
  <c r="I45" i="47" s="1"/>
  <c r="I57" i="47" s="1"/>
  <c r="J37" i="51" s="1"/>
  <c r="K31" i="41"/>
  <c r="Q31" i="41" s="1"/>
  <c r="K12" i="51"/>
  <c r="I69" i="49"/>
  <c r="H31" i="41"/>
  <c r="J13" i="41"/>
  <c r="I61" i="48"/>
  <c r="I32" i="41"/>
  <c r="H13" i="41"/>
  <c r="C13" i="45" s="1"/>
  <c r="J53" i="49"/>
  <c r="J69" i="49" s="1"/>
  <c r="J86" i="49" s="1"/>
  <c r="J41" i="49"/>
  <c r="I54" i="49"/>
  <c r="Q13" i="49"/>
  <c r="K41" i="49"/>
  <c r="K53" i="49"/>
  <c r="I41" i="41" l="1"/>
  <c r="C20" i="45"/>
  <c r="C23" i="45" s="1"/>
  <c r="C26" i="45" s="1"/>
  <c r="J41" i="41"/>
  <c r="J8" i="44"/>
  <c r="J9" i="44" s="1"/>
  <c r="I53" i="41"/>
  <c r="J12" i="51" s="1"/>
  <c r="I61" i="47"/>
  <c r="K32" i="41"/>
  <c r="K13" i="41"/>
  <c r="I82" i="49"/>
  <c r="I86" i="49"/>
  <c r="K27" i="51" s="1"/>
  <c r="J53" i="41"/>
  <c r="J69" i="41" s="1"/>
  <c r="D20" i="45"/>
  <c r="D23" i="45" s="1"/>
  <c r="D26" i="45" s="1"/>
  <c r="C5" i="45"/>
  <c r="C4" i="45" s="1"/>
  <c r="C11" i="45" s="1"/>
  <c r="C14" i="45" s="1"/>
  <c r="J54" i="49"/>
  <c r="I70" i="49"/>
  <c r="I71" i="49"/>
  <c r="S66" i="49"/>
  <c r="K69" i="49"/>
  <c r="Q53" i="49"/>
  <c r="K54" i="49"/>
  <c r="C25" i="45" l="1"/>
  <c r="I54" i="41"/>
  <c r="J86" i="41"/>
  <c r="J25" i="51" s="1"/>
  <c r="J71" i="41"/>
  <c r="I69" i="41"/>
  <c r="I82" i="41" s="1"/>
  <c r="Q13" i="41"/>
  <c r="K8" i="44"/>
  <c r="K9" i="44" s="1"/>
  <c r="K53" i="41"/>
  <c r="E20" i="45"/>
  <c r="E23" i="45" s="1"/>
  <c r="E26" i="45" s="1"/>
  <c r="K41" i="41"/>
  <c r="K86" i="49"/>
  <c r="K34" i="51" s="1"/>
  <c r="E10" i="50"/>
  <c r="K25" i="51"/>
  <c r="J7" i="44"/>
  <c r="J10" i="44" s="1"/>
  <c r="J70" i="41"/>
  <c r="J54" i="41"/>
  <c r="D25" i="45"/>
  <c r="J82" i="41"/>
  <c r="K71" i="49"/>
  <c r="Q69" i="49"/>
  <c r="K82" i="49"/>
  <c r="K70" i="49"/>
  <c r="K29" i="51" s="1"/>
  <c r="J71" i="49"/>
  <c r="J82" i="49"/>
  <c r="J70" i="49"/>
  <c r="E10" i="40" l="1"/>
  <c r="I86" i="41"/>
  <c r="J27" i="51" s="1"/>
  <c r="I71" i="41"/>
  <c r="K69" i="41"/>
  <c r="K86" i="41" s="1"/>
  <c r="Q86" i="41" s="1"/>
  <c r="S66" i="41"/>
  <c r="Q53" i="41"/>
  <c r="K54" i="41"/>
  <c r="E25" i="45"/>
  <c r="K10" i="50"/>
  <c r="E11" i="50" s="1"/>
  <c r="Q82" i="49"/>
  <c r="K11" i="50"/>
  <c r="Q86" i="49"/>
  <c r="K26" i="51"/>
  <c r="I70" i="41"/>
  <c r="I7" i="44"/>
  <c r="I10" i="44" s="1"/>
  <c r="Q69" i="41"/>
  <c r="K70" i="41" l="1"/>
  <c r="J29" i="51" s="1"/>
  <c r="K7" i="44"/>
  <c r="K10" i="44" s="1"/>
  <c r="K71" i="41"/>
  <c r="K82" i="41"/>
  <c r="Q82" i="41" s="1"/>
  <c r="J34" i="51"/>
  <c r="K10" i="40"/>
  <c r="E11" i="40" s="1"/>
  <c r="J26" i="51"/>
  <c r="K11" i="40"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Emmanuelle Gery</author>
  </authors>
  <commentList>
    <comment ref="B10" authorId="0" shapeId="0" xr:uid="{A81AA35A-546F-42A3-BA51-C1C2E39B9796}">
      <text>
        <r>
          <rPr>
            <sz val="9"/>
            <color indexed="81"/>
            <rFont val="Tahoma"/>
            <family val="2"/>
          </rPr>
          <t>Si CFA externe, partenariat = oui
Si formation non accréditée, partenariat = non</t>
        </r>
      </text>
    </comment>
    <comment ref="A35" authorId="0" shapeId="0" xr:uid="{E9403E21-80B1-48C3-8BE3-FC46A9360347}">
      <text>
        <r>
          <rPr>
            <sz val="9"/>
            <color indexed="81"/>
            <rFont val="Tahoma"/>
            <family val="2"/>
          </rPr>
          <t>non maquetté</t>
        </r>
      </text>
    </comment>
    <comment ref="C42" authorId="0" shapeId="0" xr:uid="{949D3EF7-ABEE-4257-A633-2EADFDDA6321}">
      <text>
        <r>
          <rPr>
            <sz val="9"/>
            <color indexed="81"/>
            <rFont val="Tahoma"/>
            <family val="2"/>
          </rPr>
          <t>si MS prév &lt;&gt;0, MS réel = MS prév
si MS prév = 0, MS réel =0 ou &lt;&gt;0 si recrutement =&gt; mettre la MS moyenne de la catégorie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Emmanuelle Gery</author>
    <author>Utilisateur Windows</author>
  </authors>
  <commentList>
    <comment ref="S7" authorId="0" shapeId="0" xr:uid="{34E240E7-D9A9-4480-9BF3-7ABBECFBE2E1}">
      <text>
        <r>
          <rPr>
            <sz val="9"/>
            <color indexed="81"/>
            <rFont val="Tahoma"/>
            <family val="2"/>
          </rPr>
          <t>nb d'heures suivies par l'étudiant (en presentiel ou distantiel)</t>
        </r>
      </text>
    </comment>
    <comment ref="V7" authorId="0" shapeId="0" xr:uid="{DC5354B7-4B93-4AD0-94ED-7598E1AA8711}">
      <text>
        <r>
          <rPr>
            <sz val="9"/>
            <color indexed="81"/>
            <rFont val="Tahoma"/>
            <family val="2"/>
          </rPr>
          <t>nb d'heures suivies par l'étudiant (en presentiel ou distantiel)</t>
        </r>
      </text>
    </comment>
    <comment ref="X7" authorId="1" shapeId="0" xr:uid="{00000000-0006-0000-0000-000002000000}">
      <text>
        <r>
          <rPr>
            <sz val="9"/>
            <color indexed="81"/>
            <rFont val="Tahoma"/>
            <family val="2"/>
          </rPr>
          <t xml:space="preserve">
Professeur des universités et assimilés, maître de conférence, professeur agrégé et assimilé et enseignants du second degré (certifié, professeur de lycée professionnel, professeur EPS)</t>
        </r>
      </text>
    </comment>
    <comment ref="Y7" authorId="1" shapeId="0" xr:uid="{00000000-0006-0000-0000-000003000000}">
      <text>
        <r>
          <rPr>
            <sz val="9"/>
            <color indexed="81"/>
            <rFont val="Tahoma"/>
            <family val="2"/>
          </rPr>
          <t xml:space="preserve">
Enseignant-chercheur associé (PAST et MAST), ATER, lecteurs, maître de langue</t>
        </r>
      </text>
    </comment>
    <comment ref="AC7" authorId="1" shapeId="0" xr:uid="{6D7FE75B-7EA6-4B19-ACFA-CC5DE647A0B8}">
      <text>
        <r>
          <rPr>
            <sz val="9"/>
            <color indexed="81"/>
            <rFont val="Tahoma"/>
            <family val="2"/>
          </rPr>
          <t xml:space="preserve">
Professeur des universités et assimilés, maître de conférence, professeur agrégé et assimilé et enseignants du second degré (certifié, professeur de lycée professionnel, professeur EPS)</t>
        </r>
      </text>
    </comment>
    <comment ref="AD7" authorId="1" shapeId="0" xr:uid="{D9C4F271-6D9C-4568-96F2-CFC335383FED}">
      <text>
        <r>
          <rPr>
            <sz val="9"/>
            <color indexed="81"/>
            <rFont val="Tahoma"/>
            <family val="2"/>
          </rPr>
          <t xml:space="preserve">
Enseignant-chercheur associé (PAST et MAST), ATER, lecteurs, maître de langue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Utilisateur Windows</author>
  </authors>
  <commentList>
    <comment ref="C7" authorId="0" shapeId="0" xr:uid="{00000000-0006-0000-0500-000001000000}">
      <text>
        <r>
          <rPr>
            <b/>
            <sz val="9"/>
            <color indexed="81"/>
            <rFont val="Tahoma"/>
            <family val="2"/>
          </rPr>
          <t>Utilisateur Windows:</t>
        </r>
        <r>
          <rPr>
            <sz val="9"/>
            <color indexed="81"/>
            <rFont val="Tahoma"/>
            <family val="2"/>
          </rPr>
          <t xml:space="preserve">
Professeur des universités et assimilés, maître de conférence, professeur agrégé et assimilé, certifié, professeur de lycée professionnel, professeur EPS</t>
        </r>
      </text>
    </comment>
    <comment ref="C8" authorId="0" shapeId="0" xr:uid="{00000000-0006-0000-0500-000002000000}">
      <text>
        <r>
          <rPr>
            <b/>
            <sz val="9"/>
            <color indexed="81"/>
            <rFont val="Tahoma"/>
            <family val="2"/>
          </rPr>
          <t>Utilisateur Windows:</t>
        </r>
        <r>
          <rPr>
            <sz val="9"/>
            <color indexed="81"/>
            <rFont val="Tahoma"/>
            <family val="2"/>
          </rPr>
          <t xml:space="preserve">
Enseignant-chercheur associé ou invité (PAST et MAST), attaché temporaire d’enseignement et de recherche (ATER), lecteurs, maître de langue</t>
        </r>
      </text>
    </comment>
    <comment ref="C31" authorId="0" shapeId="0" xr:uid="{849E06EF-A148-41C3-BC15-0084B0DC899D}">
      <text>
        <r>
          <rPr>
            <b/>
            <sz val="9"/>
            <color indexed="81"/>
            <rFont val="Tahoma"/>
            <family val="2"/>
          </rPr>
          <t>Utilisateur Windows:</t>
        </r>
        <r>
          <rPr>
            <sz val="9"/>
            <color indexed="81"/>
            <rFont val="Tahoma"/>
            <family val="2"/>
          </rPr>
          <t xml:space="preserve">
Professeur des universités et assimilés, maître de conférence, professeur agrégé et assimilé, certifié, professeur de lycée professionnel, professeur EPS</t>
        </r>
      </text>
    </comment>
    <comment ref="C32" authorId="0" shapeId="0" xr:uid="{CACE1540-E52E-4FED-B6F7-1ABB42F33349}">
      <text>
        <r>
          <rPr>
            <b/>
            <sz val="9"/>
            <color indexed="81"/>
            <rFont val="Tahoma"/>
            <family val="2"/>
          </rPr>
          <t>Utilisateur Windows:</t>
        </r>
        <r>
          <rPr>
            <sz val="9"/>
            <color indexed="81"/>
            <rFont val="Tahoma"/>
            <family val="2"/>
          </rPr>
          <t xml:space="preserve">
Enseignant-chercheur associé ou invité (PAST et MAST), attaché temporaire d’enseignement et de recherche (ATER), lecteurs, maître de langue</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Utilisateur Windows</author>
  </authors>
  <commentList>
    <comment ref="B28" authorId="0" shapeId="0" xr:uid="{00000000-0006-0000-0100-000002000000}">
      <text>
        <r>
          <rPr>
            <b/>
            <sz val="9"/>
            <color indexed="81"/>
            <rFont val="Tahoma"/>
            <family val="2"/>
          </rPr>
          <t>Utilisateur Windows:</t>
        </r>
        <r>
          <rPr>
            <sz val="9"/>
            <color indexed="81"/>
            <rFont val="Tahoma"/>
            <family val="2"/>
          </rPr>
          <t xml:space="preserve">
Ne comptabilise que les tarifs pour lesquels le nombre d'étudiants n'est pas nul</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Utilisateur Windows</author>
  </authors>
  <commentList>
    <comment ref="B28" authorId="0" shapeId="0" xr:uid="{AFB5CABA-97CD-491D-9A70-9C387F314304}">
      <text>
        <r>
          <rPr>
            <b/>
            <sz val="9"/>
            <color indexed="81"/>
            <rFont val="Tahoma"/>
            <family val="2"/>
          </rPr>
          <t>Utilisateur Windows:</t>
        </r>
        <r>
          <rPr>
            <sz val="9"/>
            <color indexed="81"/>
            <rFont val="Tahoma"/>
            <family val="2"/>
          </rPr>
          <t xml:space="preserve">
Ne comptabilise que les tarifs pour lesquels le nombre d'étudiants n'est pas nul</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Utilisateur Windows</author>
  </authors>
  <commentList>
    <comment ref="C15" authorId="0" shapeId="0" xr:uid="{00000000-0006-0000-0200-000001000000}">
      <text>
        <r>
          <rPr>
            <sz val="9"/>
            <color indexed="81"/>
            <rFont val="Tahoma"/>
            <family val="2"/>
          </rPr>
          <t>Professeur des universités, maître de conférence, professeur agrégé (PRAG), professeur certifié (PRCE), professeur de lycée professionnel, professeur d'EPS</t>
        </r>
      </text>
    </comment>
    <comment ref="C16" authorId="0" shapeId="0" xr:uid="{00000000-0006-0000-0200-000002000000}">
      <text>
        <r>
          <rPr>
            <sz val="9"/>
            <color indexed="81"/>
            <rFont val="Tahoma"/>
            <family val="2"/>
          </rPr>
          <t>enseignant-chercheur associé ou invité (PAST et MAST), attaché temporaire d’enseignement et de recherche (ATER), lecteur, maître de langue</t>
        </r>
      </text>
    </comment>
    <comment ref="D58" authorId="0" shapeId="0" xr:uid="{00000000-0006-0000-0200-000003000000}">
      <text>
        <r>
          <rPr>
            <sz val="9"/>
            <color indexed="81"/>
            <rFont val="Tahoma"/>
            <family val="2"/>
          </rPr>
          <t>Coût du SCFC</t>
        </r>
      </text>
    </comment>
    <comment ref="C59" authorId="0" shapeId="0" xr:uid="{00000000-0006-0000-0200-000004000000}">
      <text>
        <r>
          <rPr>
            <sz val="9"/>
            <color indexed="81"/>
            <rFont val="Tahoma"/>
            <family val="2"/>
          </rPr>
          <t>Coût de la DF, de la DRI, et des personnels BIATSS des composantes</t>
        </r>
      </text>
    </comment>
    <comment ref="C60" authorId="0" shapeId="0" xr:uid="{00000000-0006-0000-0200-000005000000}">
      <text>
        <r>
          <rPr>
            <sz val="9"/>
            <color indexed="81"/>
            <rFont val="Tahoma"/>
            <family val="2"/>
          </rPr>
          <t>Coûts du SCD</t>
        </r>
      </text>
    </comment>
    <comment ref="C61" authorId="0" shapeId="0" xr:uid="{00000000-0006-0000-0200-000006000000}">
      <text>
        <r>
          <rPr>
            <sz val="9"/>
            <color indexed="81"/>
            <rFont val="Tahoma"/>
            <family val="2"/>
          </rPr>
          <t>Coûts de la DVEC, du SUAPS</t>
        </r>
      </text>
    </comment>
    <comment ref="D63" authorId="0" shapeId="0" xr:uid="{00000000-0006-0000-0200-000007000000}">
      <text>
        <r>
          <rPr>
            <sz val="9"/>
            <color indexed="81"/>
            <rFont val="Tahoma"/>
            <family val="2"/>
          </rPr>
          <t>Coûts des services centraux (présidence, DGS, Agence Comptable, DAF, COM, DAJIM, DRHAS)</t>
        </r>
      </text>
    </comment>
    <comment ref="C64" authorId="0" shapeId="0" xr:uid="{00000000-0006-0000-0200-000008000000}">
      <text>
        <r>
          <rPr>
            <sz val="9"/>
            <color indexed="81"/>
            <rFont val="Tahoma"/>
            <family val="2"/>
          </rPr>
          <t>Coûts de la DIMMO</t>
        </r>
      </text>
    </comment>
    <comment ref="D65" authorId="0" shapeId="0" xr:uid="{00000000-0006-0000-0200-000009000000}">
      <text>
        <r>
          <rPr>
            <sz val="9"/>
            <color indexed="81"/>
            <rFont val="Tahoma"/>
            <family val="2"/>
          </rPr>
          <t>Coûts de la DSI</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Utilisateur Windows</author>
  </authors>
  <commentList>
    <comment ref="C15" authorId="0" shapeId="0" xr:uid="{761AACFB-CEEB-4565-A19E-6F8E29C9E148}">
      <text>
        <r>
          <rPr>
            <sz val="9"/>
            <color indexed="81"/>
            <rFont val="Tahoma"/>
            <family val="2"/>
          </rPr>
          <t>Professeur des universités, maître de conférence, professeur agrégé (PRAG), professeur certifié (PRCE), professeur de lycée professionnel, professeur d'EPS</t>
        </r>
      </text>
    </comment>
    <comment ref="C16" authorId="0" shapeId="0" xr:uid="{7C9F7DAE-7B6A-4EEA-B428-8BA553377769}">
      <text>
        <r>
          <rPr>
            <sz val="9"/>
            <color indexed="81"/>
            <rFont val="Tahoma"/>
            <family val="2"/>
          </rPr>
          <t>enseignant-chercheur associé ou invité (PAST et MAST), attaché temporaire d’enseignement et de recherche (ATER), lecteur, maître de langue</t>
        </r>
      </text>
    </comment>
    <comment ref="D58" authorId="0" shapeId="0" xr:uid="{AEC12904-97FD-4453-A685-4377777FAA28}">
      <text>
        <r>
          <rPr>
            <b/>
            <sz val="9"/>
            <color indexed="81"/>
            <rFont val="Tahoma"/>
            <family val="2"/>
          </rPr>
          <t>Utilisateur Windows:</t>
        </r>
        <r>
          <rPr>
            <sz val="9"/>
            <color indexed="81"/>
            <rFont val="Tahoma"/>
            <family val="2"/>
          </rPr>
          <t xml:space="preserve">
Coût du service commun de formation continue</t>
        </r>
      </text>
    </comment>
    <comment ref="C59" authorId="0" shapeId="0" xr:uid="{943D228F-C351-43C3-A135-39FFD55A8696}">
      <text>
        <r>
          <rPr>
            <b/>
            <sz val="9"/>
            <color indexed="81"/>
            <rFont val="Tahoma"/>
            <family val="2"/>
          </rPr>
          <t>Utilisateur Windows:</t>
        </r>
        <r>
          <rPr>
            <sz val="9"/>
            <color indexed="81"/>
            <rFont val="Tahoma"/>
            <family val="2"/>
          </rPr>
          <t xml:space="preserve">
Coût des personnels BIATSS des composantes, de la DFVE, de la DRI, du  COSIE, etc</t>
        </r>
      </text>
    </comment>
    <comment ref="C60" authorId="0" shapeId="0" xr:uid="{DF9EACB8-4235-42D4-86AF-1F05AF0177AB}">
      <text>
        <r>
          <rPr>
            <sz val="9"/>
            <color indexed="81"/>
            <rFont val="Tahoma"/>
            <family val="2"/>
          </rPr>
          <t>Coûts du SCD</t>
        </r>
      </text>
    </comment>
    <comment ref="C61" authorId="0" shapeId="0" xr:uid="{3DA1F4FC-499C-42B9-93CC-C3F921ED4563}">
      <text>
        <r>
          <rPr>
            <sz val="9"/>
            <color indexed="81"/>
            <rFont val="Tahoma"/>
            <family val="2"/>
          </rPr>
          <t>Coûts de la DFVE vie étudiante, du SUAPS, du SSU, etc</t>
        </r>
      </text>
    </comment>
    <comment ref="D63" authorId="0" shapeId="0" xr:uid="{0EC9964B-9405-46FE-9A60-4FAA96C3A917}">
      <text>
        <r>
          <rPr>
            <sz val="9"/>
            <color indexed="81"/>
            <rFont val="Tahoma"/>
            <family val="2"/>
          </rPr>
          <t>Coûts des services centraux (présidence, Agence Comptable, DAF, communication,…)</t>
        </r>
      </text>
    </comment>
    <comment ref="C64" authorId="0" shapeId="0" xr:uid="{D6230340-F58C-4540-936F-6BCE94FD243B}">
      <text>
        <r>
          <rPr>
            <sz val="9"/>
            <color indexed="81"/>
            <rFont val="Tahoma"/>
            <family val="2"/>
          </rPr>
          <t>Coûts de la DIMMO</t>
        </r>
      </text>
    </comment>
    <comment ref="D65" authorId="0" shapeId="0" xr:uid="{5CDCFF7C-52E7-4B57-8AFC-A89776AD4A55}">
      <text>
        <r>
          <rPr>
            <sz val="9"/>
            <color indexed="81"/>
            <rFont val="Tahoma"/>
            <family val="2"/>
          </rPr>
          <t>Coûts de la DSI</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Utilisateur Windows</author>
  </authors>
  <commentList>
    <comment ref="H6" authorId="0" shapeId="0" xr:uid="{00000000-0006-0000-0400-000001000000}">
      <text>
        <r>
          <rPr>
            <b/>
            <sz val="9"/>
            <color indexed="81"/>
            <rFont val="Tahoma"/>
            <family val="2"/>
          </rPr>
          <t>Utilisateur Windows:</t>
        </r>
        <r>
          <rPr>
            <sz val="9"/>
            <color indexed="81"/>
            <rFont val="Tahoma"/>
            <family val="2"/>
          </rPr>
          <t xml:space="preserve">
cases à modifier pour faire des simulations</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<sst xmlns="http://schemas.openxmlformats.org/spreadsheetml/2006/main" count="1716" uniqueCount="923">
  <si>
    <t>CONSIGNES DE SAISIE DE LA MATRICE FINANCIERE</t>
  </si>
  <si>
    <t>AVANT TOUTE NOUVELLE SAISIE, EFFACER TOUTES LES DONNEES DES CELLULES JAUNES DES ONGLETS</t>
  </si>
  <si>
    <t>PRECISIONS COMPLEMENTAIRES sur l'onglet "Formulaire"</t>
  </si>
  <si>
    <t>"Formulaire" et "Enseignement"</t>
  </si>
  <si>
    <t>1/ Certains menus déroulants sont conditionnés les uns aux autres</t>
  </si>
  <si>
    <t>1/  Seuls les onglets "Formulaire" et "Enseignement" sont à saisir</t>
  </si>
  <si>
    <r>
      <t xml:space="preserve">    </t>
    </r>
    <r>
      <rPr>
        <u/>
        <sz val="10"/>
        <rFont val="Trebuchet MS"/>
        <family val="2"/>
      </rPr>
      <t>"diplôme national"</t>
    </r>
    <r>
      <rPr>
        <sz val="10"/>
        <rFont val="Trebuchet MS"/>
        <family val="2"/>
      </rPr>
      <t xml:space="preserve"> : les formations concernées sont : licence, LP, master, BUT</t>
    </r>
  </si>
  <si>
    <t xml:space="preserve">     les autres onglets, uniquement consultables, donnent accès au détail des différents résultats de calcul affichés</t>
  </si>
  <si>
    <t xml:space="preserve">                                  =&gt; la gestion de ces formations possiblement mixtes (FI/FA/FC) est opérée par un CFA (Lyon 2 ou Externe)</t>
  </si>
  <si>
    <t xml:space="preserve">     dans l'onglet "Formulaire"</t>
  </si>
  <si>
    <t xml:space="preserve">                                       ou par le SCFC (pour les parcours aménagés)</t>
  </si>
  <si>
    <r>
      <t xml:space="preserve">    </t>
    </r>
    <r>
      <rPr>
        <u/>
        <sz val="10"/>
        <rFont val="Trebuchet MS"/>
        <family val="2"/>
      </rPr>
      <t>"formation non accréditée"</t>
    </r>
    <r>
      <rPr>
        <sz val="10"/>
        <rFont val="Trebuchet MS"/>
        <family val="2"/>
      </rPr>
      <t xml:space="preserve"> : les formations concernées sont : DU, formation courte, VAE</t>
    </r>
  </si>
  <si>
    <t>2/ Seules les cellules jaunes sont à renseigner. La saisie peut être une valeur ou une formule de calcul</t>
  </si>
  <si>
    <t xml:space="preserve">                                              =&gt; la gestion de ces formations est opérée soit par le SCFC, soit par la composante</t>
  </si>
  <si>
    <t xml:space="preserve">     (ex : recettes prévisionnelles CFA LYON 2 = nb inscrits en CA * NPEC moyen)</t>
  </si>
  <si>
    <r>
      <t xml:space="preserve">    </t>
    </r>
    <r>
      <rPr>
        <u/>
        <sz val="10"/>
        <rFont val="Trebuchet MS"/>
        <family val="2"/>
      </rPr>
      <t>"simulation nouvelle formation"</t>
    </r>
    <r>
      <rPr>
        <sz val="10"/>
        <rFont val="Trebuchet MS"/>
        <family val="2"/>
      </rPr>
      <t xml:space="preserve"> : la cellule B12 doit restée non renseignée</t>
    </r>
  </si>
  <si>
    <r>
      <t>3/ La saisie de l'onglet "Enseignement" doit se faire manuellement ou par un "</t>
    </r>
    <r>
      <rPr>
        <b/>
        <sz val="10"/>
        <color rgb="FFFF0000"/>
        <rFont val="Trebuchet MS"/>
        <family val="2"/>
      </rPr>
      <t>copier/coller les valeurs</t>
    </r>
    <r>
      <rPr>
        <b/>
        <sz val="10"/>
        <rFont val="Trebuchet MS"/>
        <family val="2"/>
      </rPr>
      <t>"</t>
    </r>
  </si>
  <si>
    <t xml:space="preserve">     Le menu déroulant, qui permet de choisir le nom de la formation/du parcours, est spécifique à chaque composante.</t>
  </si>
  <si>
    <t xml:space="preserve">     Ne pas faire un "CTRL C / CTRL V" car cela supprime la mise en forme et les éventuelles regles de mise en</t>
  </si>
  <si>
    <t xml:space="preserve">     Il est conditionné par la saisie des cellules B7, B8, B9. </t>
  </si>
  <si>
    <t xml:space="preserve">     forme conditionnelle ; et cela copie d'éventuelles formules et liens vers d'autres fichiers </t>
  </si>
  <si>
    <t xml:space="preserve">        =&gt; si le menu déroulant est vide, cela signifie que cette composante ne propose pas ce type de diplôme/formation.</t>
  </si>
  <si>
    <r>
      <t xml:space="preserve">        =&gt; si le menu déroulant est incomplet, merci d'en informer le SPCF </t>
    </r>
    <r>
      <rPr>
        <sz val="8"/>
        <rFont val="Trebuchet MS"/>
        <family val="2"/>
      </rPr>
      <t>(</t>
    </r>
    <r>
      <rPr>
        <i/>
        <sz val="8"/>
        <rFont val="Trebuchet MS"/>
        <family val="2"/>
      </rPr>
      <t>emmanuelle.gery@univ-lyon2.fr</t>
    </r>
    <r>
      <rPr>
        <sz val="8"/>
        <rFont val="Trebuchet MS"/>
        <family val="2"/>
      </rPr>
      <t>)</t>
    </r>
    <r>
      <rPr>
        <sz val="10"/>
        <rFont val="Trebuchet MS"/>
        <family val="2"/>
      </rPr>
      <t>, qui complètera la liste.</t>
    </r>
  </si>
  <si>
    <t xml:space="preserve">     Ne pas oublier de saisir les codes enseignement (colonne E) afin que les formules donnent un résultat dans le </t>
  </si>
  <si>
    <t>2/ Les infos fournies en cellule B14 (NPEC) et B15 (tarif individuel FC) sont données à titre indicatif.</t>
  </si>
  <si>
    <t xml:space="preserve">     tableau de synthèse</t>
  </si>
  <si>
    <t xml:space="preserve">    Le montant de la recette, renseigné en cellules C21 à C28, peut donc être calculé à partir de valeurs différentes.</t>
  </si>
  <si>
    <t>4/ Ne pas insérer de lignes dans l'onglet "Enseignement".</t>
  </si>
  <si>
    <t>3/ Ne renseigner, en ligne 58, que les charges directes de fonctionnement des formations ouvertes à l'apprentissage.</t>
  </si>
  <si>
    <t xml:space="preserve">     Si besoin de lignes supplémentaires pour décrire les enseignements d'un semestre, se rapprocher du SPCF (DAF)</t>
  </si>
  <si>
    <t xml:space="preserve">    En cas de contrat de professionnalisation (CP), indiquer les charges associées en ligne 59.</t>
  </si>
  <si>
    <t>5/ Eviter les copier/coller dans l'onlet "Formulaire" et privilégier la saisie manuelle de chaque cellule</t>
  </si>
  <si>
    <t xml:space="preserve">6/ Consignes de saisie des charges directes de personnel administratif (masse salariale) </t>
  </si>
  <si>
    <t>PRECISIONS COMPLEMENTAIRES sur l'onglet "Enseignement"</t>
  </si>
  <si>
    <t xml:space="preserve">     - concerne tous les personnels BIATSS travaillant pour des formations en alternance (FA ou FA/FC) : </t>
  </si>
  <si>
    <t xml:space="preserve">     pôle alternance au sein de la composante ; gestionnaire de scolarité ou autre personnel ne travaillant que pour</t>
  </si>
  <si>
    <r>
      <t>1/ Une 4</t>
    </r>
    <r>
      <rPr>
        <b/>
        <vertAlign val="superscript"/>
        <sz val="10"/>
        <rFont val="Trebuchet MS"/>
        <family val="2"/>
      </rPr>
      <t>e</t>
    </r>
    <r>
      <rPr>
        <b/>
        <sz val="10"/>
        <rFont val="Trebuchet MS"/>
        <family val="2"/>
      </rPr>
      <t xml:space="preserve"> colonne existe pour saisir la répartition des heures effectives d'enseignement : colonnes AA et AF</t>
    </r>
  </si>
  <si>
    <t xml:space="preserve">     des diplômes de FA</t>
  </si>
  <si>
    <t xml:space="preserve">    Elle sert à distinguer les vacations des heures complémentaires</t>
  </si>
  <si>
    <t xml:space="preserve">     - concerne uniquement les PAST recrutés sur fonds propres FA de la composante (dans ce cas, penser à retirer</t>
  </si>
  <si>
    <t xml:space="preserve">     les heures d'enseignement des colonnes Y et AD dans l'onglet enseignement)</t>
  </si>
  <si>
    <t>2/ Les colonnes B, C, D peuvent être renseignées.</t>
  </si>
  <si>
    <t xml:space="preserve">   l'absence de saisie n'est pas bloquante pour les calculs</t>
  </si>
  <si>
    <t xml:space="preserve">7/ Consignes de saisie des charges directes de FCT réelles </t>
  </si>
  <si>
    <t xml:space="preserve">     d'après une extraction des dépenses constatées sous SIFAC</t>
  </si>
  <si>
    <t>3/ Rappel des types d'enseignement pour codifier les heures de suivi : colonne J</t>
  </si>
  <si>
    <t xml:space="preserve">   STSUIV : visite en stage</t>
  </si>
  <si>
    <t xml:space="preserve">   ALTSUIV : tutorat alternance</t>
  </si>
  <si>
    <t>8/ Renseigner entièrement le fichier pour sa formation et l'année universitaire N-1 / N ; puis enregistrer</t>
  </si>
  <si>
    <t xml:space="preserve">   PROJSUIV : accompagnement projet</t>
  </si>
  <si>
    <t xml:space="preserve">   MEMSUIV : suivi mémoire et soutenance</t>
  </si>
  <si>
    <t xml:space="preserve">     à nouveau le fichier sous un autre nom, pour l'année universitaire N / N+1</t>
  </si>
  <si>
    <t xml:space="preserve">   SPSUIV : sortites pédagogiques</t>
  </si>
  <si>
    <t xml:space="preserve">   JESUIV : journées d'étude</t>
  </si>
  <si>
    <t xml:space="preserve">     (ce qui permet de conserver intacte la partie gauche -libellé enseignement- de l'onglet "Enseignement")</t>
  </si>
  <si>
    <t>DONNEES A SAISIR</t>
  </si>
  <si>
    <t>RESULTATS DE CALCUL</t>
  </si>
  <si>
    <t>ANNEE UNIVERSITAIRE</t>
  </si>
  <si>
    <t>2026-2027</t>
  </si>
  <si>
    <t xml:space="preserve">FI   </t>
  </si>
  <si>
    <t>formation initiale</t>
  </si>
  <si>
    <t xml:space="preserve">FA  </t>
  </si>
  <si>
    <t>formation en alternance (CA &amp; CP)</t>
  </si>
  <si>
    <t>Cellules à renseigner</t>
  </si>
  <si>
    <t>cellules à ne pas modifier</t>
  </si>
  <si>
    <t xml:space="preserve">FC  </t>
  </si>
  <si>
    <t>formation continue</t>
  </si>
  <si>
    <t>INFORMATIONS DIPLÔME</t>
  </si>
  <si>
    <t>NOMBRE D'INSCRIPTIONS</t>
  </si>
  <si>
    <t>DONNEES FINANCIERES</t>
  </si>
  <si>
    <t>Type de diplôme</t>
  </si>
  <si>
    <t>simulation nouvelle formation</t>
  </si>
  <si>
    <t>Prévisionnel</t>
  </si>
  <si>
    <t>Réalisé</t>
  </si>
  <si>
    <t>Réel</t>
  </si>
  <si>
    <t>Gestion du diplôme</t>
  </si>
  <si>
    <t>Composante</t>
  </si>
  <si>
    <t>Type de formation</t>
  </si>
  <si>
    <t>DU</t>
  </si>
  <si>
    <t xml:space="preserve">Nombre d'inscrits total
</t>
  </si>
  <si>
    <t>Dotation établissement (FI)</t>
  </si>
  <si>
    <t>Diplôme en partenariat</t>
  </si>
  <si>
    <t>non</t>
  </si>
  <si>
    <t>Nombre d'inscrits payants</t>
  </si>
  <si>
    <t>IPsyL</t>
  </si>
  <si>
    <t>Contrat d'apprentissage (CA)</t>
  </si>
  <si>
    <t>Total Recettes (FI+FA+FC)</t>
  </si>
  <si>
    <t>Nom de la formation/du parcours</t>
  </si>
  <si>
    <t>Contrat de professionnalisation (CP)</t>
  </si>
  <si>
    <r>
      <t xml:space="preserve">Total Charges directes (FI+FA+FC)
</t>
    </r>
    <r>
      <rPr>
        <sz val="10"/>
        <rFont val="Calibri"/>
        <family val="2"/>
        <scheme val="minor"/>
      </rPr>
      <t>(charges d'enseignement et de fonctionnement)</t>
    </r>
  </si>
  <si>
    <t>type du parcours</t>
  </si>
  <si>
    <t>FC</t>
  </si>
  <si>
    <t>Formation continue (FC)</t>
  </si>
  <si>
    <r>
      <t>NPEC</t>
    </r>
    <r>
      <rPr>
        <vertAlign val="subscript"/>
        <sz val="10"/>
        <rFont val="Calibri"/>
        <family val="2"/>
        <scheme val="minor"/>
      </rPr>
      <t>moyen</t>
    </r>
    <r>
      <rPr>
        <sz val="10"/>
        <rFont val="Calibri"/>
        <family val="2"/>
        <scheme val="minor"/>
      </rPr>
      <t xml:space="preserve">   (FA)</t>
    </r>
  </si>
  <si>
    <t>tarif individuel minimum   (FC)</t>
  </si>
  <si>
    <t>Nombre d'étudiants (FI)</t>
  </si>
  <si>
    <t>marge mini (%) attendue  (FC)</t>
  </si>
  <si>
    <t>Dotation Etablissement (h)</t>
  </si>
  <si>
    <r>
      <t xml:space="preserve">DONNEES CONSOLIDEES PAR LE RAF </t>
    </r>
    <r>
      <rPr>
        <sz val="10"/>
        <rFont val="Arial"/>
        <family val="2"/>
      </rPr>
      <t>(issues de FCA Manager, des conventions de partenariat)</t>
    </r>
  </si>
  <si>
    <t>ANALYSE FINANCIERE</t>
  </si>
  <si>
    <r>
      <t>DROITS INSCRIPTION FA/FC  +  AUTRES RESSOURCES PROPRES (</t>
    </r>
    <r>
      <rPr>
        <b/>
        <u/>
        <sz val="10"/>
        <color theme="0"/>
        <rFont val="Calibri"/>
        <family val="2"/>
        <scheme val="minor"/>
      </rPr>
      <t>hors dotation</t>
    </r>
    <r>
      <rPr>
        <b/>
        <sz val="10"/>
        <color theme="0"/>
        <rFont val="Calibri"/>
        <family val="2"/>
        <scheme val="minor"/>
      </rPr>
      <t>)</t>
    </r>
  </si>
  <si>
    <t>Charges indirectes sur la part autofinancée (FA+FC)</t>
  </si>
  <si>
    <t>Financeur</t>
  </si>
  <si>
    <t>Montant</t>
  </si>
  <si>
    <t>Commentaire</t>
  </si>
  <si>
    <t>Total financements</t>
  </si>
  <si>
    <t>méthode des coûts complets (P2CA)</t>
  </si>
  <si>
    <t>CFA LYON2</t>
  </si>
  <si>
    <t>prélèvement sur recettes</t>
  </si>
  <si>
    <t>CFA externe - Partenaire</t>
  </si>
  <si>
    <r>
      <t xml:space="preserve">Formation continue  </t>
    </r>
    <r>
      <rPr>
        <sz val="8"/>
        <rFont val="Calibri"/>
        <family val="2"/>
        <scheme val="minor"/>
      </rPr>
      <t>(+ tarif spécifique FI)</t>
    </r>
  </si>
  <si>
    <t>Résultat = recettes - dépenses</t>
  </si>
  <si>
    <r>
      <t xml:space="preserve">Subv publique </t>
    </r>
    <r>
      <rPr>
        <sz val="8"/>
        <rFont val="Calibri"/>
        <family val="2"/>
        <scheme val="minor"/>
      </rPr>
      <t>(Région, Métropole, …)</t>
    </r>
    <r>
      <rPr>
        <sz val="10"/>
        <rFont val="Calibri"/>
        <family val="2"/>
        <scheme val="minor"/>
      </rPr>
      <t xml:space="preserve"> ou privée</t>
    </r>
  </si>
  <si>
    <t xml:space="preserve">       sur la part relevant de la FI</t>
  </si>
  <si>
    <t>Ministère</t>
  </si>
  <si>
    <t xml:space="preserve">       sur la part autofinancée FA+FC</t>
  </si>
  <si>
    <t>Résultat total de la formation</t>
  </si>
  <si>
    <t>Coût complet par étudiant autofinancé</t>
  </si>
  <si>
    <t>Marge minimale à couvrir</t>
  </si>
  <si>
    <t>CHARGES DIRECTES DE PERSONNEL ENSEIGNANT  (HETD)</t>
  </si>
  <si>
    <t>Seuil d'ouverture/de rentabilité</t>
  </si>
  <si>
    <t>Encadrement - Pilotage diplôme</t>
  </si>
  <si>
    <t>Responsabilité diplôme</t>
  </si>
  <si>
    <t>Heures de recrutement</t>
  </si>
  <si>
    <t>Autres</t>
  </si>
  <si>
    <t>DONNEES CONSOLIDEES PAR LE RAF</t>
  </si>
  <si>
    <t>CHARGES DIRECTES DE PERSONNEL ADMINISTRATIF</t>
  </si>
  <si>
    <t>Type et Catégorie de Personnel</t>
  </si>
  <si>
    <t>Masse Salariale (€) prév</t>
  </si>
  <si>
    <t>Masse Salariale (€) réel</t>
  </si>
  <si>
    <t>Ratio ETPT prév</t>
  </si>
  <si>
    <t>Ratio ETPT réel</t>
  </si>
  <si>
    <t>Nb total d'apprentis gérés par la COMP prév</t>
  </si>
  <si>
    <t>Nb total d'apprentis gérés par la COMP réel</t>
  </si>
  <si>
    <t>CHARGES DIRECTES DE FONCTIONNEMENT  (€)</t>
  </si>
  <si>
    <t>Coût total</t>
  </si>
  <si>
    <t>Achat de petits materiels et fournitures</t>
  </si>
  <si>
    <t>Indemnités d'occupations des locaux (locations &amp; fluides)</t>
  </si>
  <si>
    <t>Services/prestations extérieur(e)s</t>
  </si>
  <si>
    <t>Communication et publicité</t>
  </si>
  <si>
    <t>Autres charges de gestion courante</t>
  </si>
  <si>
    <t>Frais de deplacements &amp; restauration liés à la FI</t>
  </si>
  <si>
    <t>Frais de deplacements &amp; restauration liés à l'apprentissage (CA)</t>
  </si>
  <si>
    <t>Frais de deplacements &amp; restauration liés à la FC</t>
  </si>
  <si>
    <t>Amortissement des biens liés à la formation</t>
  </si>
  <si>
    <t>TOTAL charges directes FCT</t>
  </si>
  <si>
    <t>cellules pouvant être renseignées</t>
  </si>
  <si>
    <t>Total</t>
  </si>
  <si>
    <t>CM/TD</t>
  </si>
  <si>
    <t>Stage/entreprise</t>
  </si>
  <si>
    <t>Projet</t>
  </si>
  <si>
    <t>Autre</t>
  </si>
  <si>
    <t>Volume horaire par étudiant (FI)</t>
  </si>
  <si>
    <t>Volume horaire par stagiaire (CP, FC)</t>
  </si>
  <si>
    <t>Volume horaire par apprenti (CA)</t>
  </si>
  <si>
    <t>Numéro UE</t>
  </si>
  <si>
    <t>Nom UE</t>
  </si>
  <si>
    <t>ECTS</t>
  </si>
  <si>
    <t>Code Enseignement</t>
  </si>
  <si>
    <t>Libellé enseignement</t>
  </si>
  <si>
    <t>Parcours</t>
  </si>
  <si>
    <t>Obligatoire ou optionnel</t>
  </si>
  <si>
    <t>Nb choix</t>
  </si>
  <si>
    <t>type d'enseignement</t>
  </si>
  <si>
    <t>Volume horaire</t>
  </si>
  <si>
    <t>Nb inscrits total</t>
  </si>
  <si>
    <t>Capacité  groupe</t>
  </si>
  <si>
    <t>Portage extérieur</t>
  </si>
  <si>
    <t>Mention, parcours, établissement extérieur porteur</t>
  </si>
  <si>
    <t>Nb de groupes</t>
  </si>
  <si>
    <t xml:space="preserve">Nb d'heures d'enseigement pédagogique </t>
  </si>
  <si>
    <t>Nb d'heures de suivi prév</t>
  </si>
  <si>
    <r>
      <t xml:space="preserve">Total heures </t>
    </r>
    <r>
      <rPr>
        <b/>
        <u/>
        <sz val="12"/>
        <color theme="0"/>
        <rFont val="Calibri"/>
        <family val="2"/>
        <scheme val="minor"/>
      </rPr>
      <t>effectives</t>
    </r>
    <r>
      <rPr>
        <b/>
        <sz val="12"/>
        <color theme="0"/>
        <rFont val="Calibri"/>
        <family val="2"/>
        <scheme val="minor"/>
      </rPr>
      <t xml:space="preserve"> prév</t>
    </r>
  </si>
  <si>
    <r>
      <t xml:space="preserve">Total </t>
    </r>
    <r>
      <rPr>
        <b/>
        <u/>
        <sz val="12"/>
        <color theme="0"/>
        <rFont val="Calibri"/>
        <family val="2"/>
        <scheme val="minor"/>
      </rPr>
      <t>HETD</t>
    </r>
    <r>
      <rPr>
        <b/>
        <sz val="12"/>
        <color theme="0"/>
        <rFont val="Calibri"/>
        <family val="2"/>
        <scheme val="minor"/>
      </rPr>
      <t xml:space="preserve"> prév</t>
    </r>
  </si>
  <si>
    <t>Nb d'heures de suivi Réel</t>
  </si>
  <si>
    <r>
      <t xml:space="preserve">Total heures </t>
    </r>
    <r>
      <rPr>
        <b/>
        <u/>
        <sz val="12"/>
        <color theme="0"/>
        <rFont val="Calibri"/>
        <family val="2"/>
        <scheme val="minor"/>
      </rPr>
      <t>effectives</t>
    </r>
    <r>
      <rPr>
        <b/>
        <sz val="12"/>
        <color theme="0"/>
        <rFont val="Calibri"/>
        <family val="2"/>
        <scheme val="minor"/>
      </rPr>
      <t xml:space="preserve"> réel</t>
    </r>
  </si>
  <si>
    <r>
      <t xml:space="preserve">Total </t>
    </r>
    <r>
      <rPr>
        <b/>
        <u/>
        <sz val="12"/>
        <color theme="0"/>
        <rFont val="Calibri"/>
        <family val="2"/>
        <scheme val="minor"/>
      </rPr>
      <t>HETD</t>
    </r>
    <r>
      <rPr>
        <b/>
        <sz val="12"/>
        <color theme="0"/>
        <rFont val="Calibri"/>
        <family val="2"/>
        <scheme val="minor"/>
      </rPr>
      <t xml:space="preserve"> réel</t>
    </r>
  </si>
  <si>
    <t>Enseignants titulaires prév</t>
  </si>
  <si>
    <t>Enseignants non titulaires prév</t>
  </si>
  <si>
    <t>Vacataires prév</t>
  </si>
  <si>
    <t>Heures Compl 
prév</t>
  </si>
  <si>
    <r>
      <t xml:space="preserve">Total heures </t>
    </r>
    <r>
      <rPr>
        <b/>
        <u/>
        <sz val="12"/>
        <rFont val="Calibri"/>
        <family val="2"/>
        <scheme val="minor"/>
      </rPr>
      <t xml:space="preserve">effectives </t>
    </r>
    <r>
      <rPr>
        <b/>
        <sz val="12"/>
        <rFont val="Calibri"/>
        <family val="2"/>
        <scheme val="minor"/>
      </rPr>
      <t>prév</t>
    </r>
  </si>
  <si>
    <t>Enseignants titulaires réel</t>
  </si>
  <si>
    <t>Enseignants non titulaires réel</t>
  </si>
  <si>
    <t>Vacataires réel</t>
  </si>
  <si>
    <t>Heures compl 
réel</t>
  </si>
  <si>
    <r>
      <t xml:space="preserve">Total heures </t>
    </r>
    <r>
      <rPr>
        <b/>
        <u/>
        <sz val="12"/>
        <color theme="0"/>
        <rFont val="Calibri"/>
        <family val="2"/>
        <scheme val="minor"/>
      </rPr>
      <t xml:space="preserve">effectives </t>
    </r>
    <r>
      <rPr>
        <b/>
        <sz val="12"/>
        <color theme="0"/>
        <rFont val="Calibri"/>
        <family val="2"/>
        <scheme val="minor"/>
      </rPr>
      <t>réel</t>
    </r>
  </si>
  <si>
    <t>Commentaires et mode de calcul de l'accompagnement</t>
  </si>
  <si>
    <t>type parcours</t>
  </si>
  <si>
    <t xml:space="preserve">Nb d'heures étudiant proratisé </t>
  </si>
  <si>
    <t>Nb d'heures tous apprenants</t>
  </si>
  <si>
    <t>Semestre 1</t>
  </si>
  <si>
    <t>1.1</t>
  </si>
  <si>
    <t>Histoire et épistémologie de l’approche systémique</t>
  </si>
  <si>
    <t>EP1.1A</t>
  </si>
  <si>
    <t>Introduction</t>
  </si>
  <si>
    <t>Obligatoire</t>
  </si>
  <si>
    <t>TD</t>
  </si>
  <si>
    <t>EP1.1B</t>
  </si>
  <si>
    <t>Histoire et épistémologie de l'approche systémique</t>
  </si>
  <si>
    <t>1.2</t>
  </si>
  <si>
    <t>Les différents modèles théoriques en systémie</t>
  </si>
  <si>
    <t>EP1.2A</t>
  </si>
  <si>
    <t>1.3</t>
  </si>
  <si>
    <t>Articulation théorico-clinique : Contextes et publics</t>
  </si>
  <si>
    <t>EP1.3A</t>
  </si>
  <si>
    <t>1.4</t>
  </si>
  <si>
    <t xml:space="preserve">Techniques d'entretien et médiations dans le travail auprès des systèmes </t>
  </si>
  <si>
    <t>EP1.4A</t>
  </si>
  <si>
    <t>1.5</t>
  </si>
  <si>
    <t>La posture du clinicien systémicien : Accompagnement à l’élaboration du mémoire</t>
  </si>
  <si>
    <t>EP1.5A</t>
  </si>
  <si>
    <t>Semestre 2</t>
  </si>
  <si>
    <t>ONGLET A MASQUER</t>
  </si>
  <si>
    <t>DONNEES P2CA</t>
  </si>
  <si>
    <t>Types d'heures d'enseignement</t>
  </si>
  <si>
    <t>Liste des Composantes</t>
  </si>
  <si>
    <t>nouveauté</t>
  </si>
  <si>
    <t>Charges indirectes</t>
  </si>
  <si>
    <t>taux</t>
  </si>
  <si>
    <t>Coûts moyen 2024</t>
  </si>
  <si>
    <t>Liste des Formations</t>
  </si>
  <si>
    <t>Dotation FI</t>
  </si>
  <si>
    <t>capacité max gpe</t>
  </si>
  <si>
    <t>NPEC (€)</t>
  </si>
  <si>
    <t>tarif indiv min (€)</t>
  </si>
  <si>
    <t>n° RNCP</t>
  </si>
  <si>
    <t>2024/2025</t>
  </si>
  <si>
    <t>COMP</t>
  </si>
  <si>
    <t>Heures effectives</t>
  </si>
  <si>
    <t>HETD</t>
  </si>
  <si>
    <t>charges fixes/variables</t>
  </si>
  <si>
    <t>Part Formation (SCFC ou COMP)</t>
  </si>
  <si>
    <t>+ revalorisation de 3%</t>
  </si>
  <si>
    <t>simulation tarifaire</t>
  </si>
  <si>
    <t>Enseignement disciplinaire</t>
  </si>
  <si>
    <t>Cours magistral</t>
  </si>
  <si>
    <t>CM</t>
  </si>
  <si>
    <t>ASSP</t>
  </si>
  <si>
    <t>ASSP - UFR Anthropologie, Sociologie, Sciences Politiques</t>
  </si>
  <si>
    <t>FI</t>
  </si>
  <si>
    <t>Part Etablissement</t>
  </si>
  <si>
    <t>BIATSS titulaire catégorie A</t>
  </si>
  <si>
    <t>L3 LEA : parcours Anglais / Espagnol</t>
  </si>
  <si>
    <t>x</t>
  </si>
  <si>
    <t>UFR Langues</t>
  </si>
  <si>
    <t>BUT</t>
  </si>
  <si>
    <t>Licence</t>
  </si>
  <si>
    <t>LP</t>
  </si>
  <si>
    <t>Master</t>
  </si>
  <si>
    <t>VAE</t>
  </si>
  <si>
    <t>Formation Courte</t>
  </si>
  <si>
    <t>Travaux dirigés</t>
  </si>
  <si>
    <t>CFMI</t>
  </si>
  <si>
    <t>CFMI - Centre de Formation des Musiciens Intervenants</t>
  </si>
  <si>
    <t>Part CFA Lyon 2</t>
  </si>
  <si>
    <t>BIATSS titulaire catégorie B</t>
  </si>
  <si>
    <t>L3 SEG : Economie et Gestion</t>
  </si>
  <si>
    <t>SEG</t>
  </si>
  <si>
    <t>CIEF</t>
  </si>
  <si>
    <t>DU FOU</t>
  </si>
  <si>
    <t>STAGE ÉTÉ</t>
  </si>
  <si>
    <t>Travaux pratiques</t>
  </si>
  <si>
    <t>TP</t>
  </si>
  <si>
    <t>CIEF - Centre International d'Etudes Françaises</t>
  </si>
  <si>
    <t>ALT</t>
  </si>
  <si>
    <t>BIATSS titulaire catégorie C</t>
  </si>
  <si>
    <t>Licence FPP : formation par la pratique - FC</t>
  </si>
  <si>
    <t>DU PASSERELLE</t>
  </si>
  <si>
    <t>Professionnalisation / recherche</t>
  </si>
  <si>
    <t>Stage (suivi)</t>
  </si>
  <si>
    <t>STSUIV</t>
  </si>
  <si>
    <t>DROIT</t>
  </si>
  <si>
    <t>FJVD - Faculté de Droit Julie-Victoire Daubié</t>
  </si>
  <si>
    <t>FI/FC</t>
  </si>
  <si>
    <t>BIATSS contractuel catégorie A</t>
  </si>
  <si>
    <t>Licence en parcours CFP (contrat de formation personnalisé) - FC</t>
  </si>
  <si>
    <t>Stage (TD)</t>
  </si>
  <si>
    <t>STTD</t>
  </si>
  <si>
    <t>ICOM</t>
  </si>
  <si>
    <t>ICOM - Institut de Communication</t>
  </si>
  <si>
    <t>FI/ALT</t>
  </si>
  <si>
    <t>Tarif différentié FC (hors CP)</t>
  </si>
  <si>
    <t>(€)</t>
  </si>
  <si>
    <t>BIATSS contractuel catégorie B</t>
  </si>
  <si>
    <t>Licence FORSE : formation et ressources en sciences de l'éducation - FC</t>
  </si>
  <si>
    <t>ISPEF</t>
  </si>
  <si>
    <t>DUEF</t>
  </si>
  <si>
    <t>Stage (CM)</t>
  </si>
  <si>
    <t>STCM</t>
  </si>
  <si>
    <t>IETL</t>
  </si>
  <si>
    <t>IETL - Institut d'Etudes du Travail de Lyon</t>
  </si>
  <si>
    <t>FC/ALT</t>
  </si>
  <si>
    <t>BIATSS contractuel catégorie C</t>
  </si>
  <si>
    <t>LP Assistant juridique</t>
  </si>
  <si>
    <t>LIC INFORMATION - COMMUNICATION</t>
  </si>
  <si>
    <t>LIC PRO METIERS DE LA COMMUNICATION : CHEF DE PROJET COMMUNICATION</t>
  </si>
  <si>
    <t>MAST COMMUNICATION DES ORGANISATIONS</t>
  </si>
  <si>
    <t>DU COMMUNICATION CONCEPTION INFOGRAPHIE (DUCCI)</t>
  </si>
  <si>
    <t>Alternance (suivi)</t>
  </si>
  <si>
    <t>ALTSUIV</t>
  </si>
  <si>
    <t>IFS</t>
  </si>
  <si>
    <t>IFS - Institut de la Formation Syndicale</t>
  </si>
  <si>
    <t>FI/FC/ALT</t>
  </si>
  <si>
    <t>LP BTP Réseaux hydrauliques</t>
  </si>
  <si>
    <t>LIC INFORMATIQUE</t>
  </si>
  <si>
    <t>LIC PRO METIERS DU NUMERIQUE : CONCEPTION, REDACTION ET REALISATION WEB</t>
  </si>
  <si>
    <t>MAST DIRECTION DE PROJETS OU ETABLISSEMENTS CULTURELS</t>
  </si>
  <si>
    <t>DU INFOGRAPHIE 3D</t>
  </si>
  <si>
    <t>Alternance (TD)</t>
  </si>
  <si>
    <t>ALTTD</t>
  </si>
  <si>
    <t>IPsyL - Institut de Psychologie</t>
  </si>
  <si>
    <t>PAST</t>
  </si>
  <si>
    <t>LP DPMC : Droit, Procédures et Métiers du Contentieux</t>
  </si>
  <si>
    <t>LIC PRO METIERS DE LA MODE</t>
  </si>
  <si>
    <t>MAST HUMANITES NUMERIQUES</t>
  </si>
  <si>
    <t>DU LEVEL DESIGN</t>
  </si>
  <si>
    <t>Alternance (CM)</t>
  </si>
  <si>
    <t>ALTCM</t>
  </si>
  <si>
    <t>ISPEF - Institut des Sciences et Pratiques d'Education de la Formation</t>
  </si>
  <si>
    <t>BIATSS catégorie A</t>
  </si>
  <si>
    <t>LP COLLAB : Collaborateur droit social &amp; prévention des risques professionnels</t>
  </si>
  <si>
    <t>LIC PRO METIERS DU JEU VIDEO</t>
  </si>
  <si>
    <t>MAST INFORMATION - COMMUNICATION</t>
  </si>
  <si>
    <t>Projet (suivi)</t>
  </si>
  <si>
    <t>PROJSUIV</t>
  </si>
  <si>
    <t>IUT</t>
  </si>
  <si>
    <t>IUT - Institut Universitaire de Technologie Lumière</t>
  </si>
  <si>
    <t>Marge mini attendue en FC</t>
  </si>
  <si>
    <t>Année universitaire</t>
  </si>
  <si>
    <t>BIATSS catégorie B</t>
  </si>
  <si>
    <t>LP LG : Logistique Globale</t>
  </si>
  <si>
    <t>MAST INFORMATIQUE</t>
  </si>
  <si>
    <t>Projet (TD)</t>
  </si>
  <si>
    <t>PROJTD</t>
  </si>
  <si>
    <t>LANGUES</t>
  </si>
  <si>
    <t>LANGUES - UFR Langues</t>
  </si>
  <si>
    <t>2023-2024</t>
  </si>
  <si>
    <t>BIATSS catégorie C</t>
  </si>
  <si>
    <t>LP Commercialisation des prestations touristiques spécialisées</t>
  </si>
  <si>
    <t>MAST JOURNALISME</t>
  </si>
  <si>
    <t>Projet (CM)</t>
  </si>
  <si>
    <t>PROJCM</t>
  </si>
  <si>
    <t>LESLA</t>
  </si>
  <si>
    <t>LESLA - UFR Lettres, Sciences du Langage et Arts</t>
  </si>
  <si>
    <t>2024-2025</t>
  </si>
  <si>
    <t>LP Coordinateur des temps périscolaires</t>
  </si>
  <si>
    <t>MAST MODE</t>
  </si>
  <si>
    <t>Mémoire et soutenance (suivi)</t>
  </si>
  <si>
    <t>MEMSUIV</t>
  </si>
  <si>
    <t>SEG - UFR Sciences Economiques et de Gestion</t>
  </si>
  <si>
    <t>2025-2026</t>
  </si>
  <si>
    <t>Enseignant titulaire</t>
  </si>
  <si>
    <t>LP CCA : Chargé de Clientèle en Alternance</t>
  </si>
  <si>
    <t>LIC PRO ACTIVITES JURIDIQUES : METIERS DU DROIT SOCIAL</t>
  </si>
  <si>
    <t>MAST DROIT SOCIAL</t>
  </si>
  <si>
    <t>DU ANALYSE ERGONOMIQUE DU TRAVAIL (DAET)</t>
  </si>
  <si>
    <t>Mémoire de recherche (TD)</t>
  </si>
  <si>
    <t>MEMTD</t>
  </si>
  <si>
    <t>TT</t>
  </si>
  <si>
    <t>TT - UFR Temps et Territoires</t>
  </si>
  <si>
    <t>Enseignant non titulaire</t>
  </si>
  <si>
    <t>LP GMSF : Gestion et Management des Service Ferroviaires</t>
  </si>
  <si>
    <t>MAST ERGONOMIE</t>
  </si>
  <si>
    <t>DU DROIT DU TRAVAIL (DUTRA)</t>
  </si>
  <si>
    <t>Mémoire de recherche (CM)</t>
  </si>
  <si>
    <t>MEMCM</t>
  </si>
  <si>
    <t>2027-2028</t>
  </si>
  <si>
    <t>Vacataire</t>
  </si>
  <si>
    <t>LP MSTV : Management des Services de Transport de Voyageurs</t>
  </si>
  <si>
    <t>MAST SCIENCES SOCIALES</t>
  </si>
  <si>
    <t>DU DROIT ET GESTION DES RESSOURCES HUMAINES (DGRH)</t>
  </si>
  <si>
    <t>Formation à distance</t>
  </si>
  <si>
    <t>FOAD</t>
  </si>
  <si>
    <t>2028-2029</t>
  </si>
  <si>
    <t>Heures Compl</t>
  </si>
  <si>
    <t>LP COLIBRE : Conduite de Projet et Logiciels Libres</t>
  </si>
  <si>
    <t>DU ERGONOMOMIE APPLIQUEE (DUFSEA)</t>
  </si>
  <si>
    <t>Sortie pédagogique (suivi)</t>
  </si>
  <si>
    <t>SPSUIV</t>
  </si>
  <si>
    <t>Non concernés par le dispositif Excédent Mobilisable de la FA : IUT, PSYCHO, CIEF, CFMI</t>
  </si>
  <si>
    <t>2029-2030</t>
  </si>
  <si>
    <t>LP Métier du jeu video : Info 3D</t>
  </si>
  <si>
    <t>LIC SCIENCES DE L'EDUCATION ET DE LA FORMATION</t>
  </si>
  <si>
    <t>LIC PRO METIERS DE L'ANIMATION SOCIALE, SOCIO-EDUCATIVES ET SOCIOCULTURELLE</t>
  </si>
  <si>
    <t>MAST SCIENCES DE L'EDUCATION ET DE LA FORMATION</t>
  </si>
  <si>
    <t>FORSE</t>
  </si>
  <si>
    <t>Sortie pédagogique (TD)</t>
  </si>
  <si>
    <t>SPTD</t>
  </si>
  <si>
    <t>Centre de langues : délivre des certifications (CLES, TOEFL/TOEIC)</t>
  </si>
  <si>
    <t>2030-2031</t>
  </si>
  <si>
    <t xml:space="preserve">Appui à la formation tout au long de la vie </t>
  </si>
  <si>
    <t>LP Métiers du jeu video : Level Design</t>
  </si>
  <si>
    <t>MAST MEEF</t>
  </si>
  <si>
    <t>Sortie pédagogique (CM)</t>
  </si>
  <si>
    <t>SPCM</t>
  </si>
  <si>
    <t>2031-2032</t>
  </si>
  <si>
    <t>Appui à la formation</t>
  </si>
  <si>
    <t>LP Mode</t>
  </si>
  <si>
    <t>BUT GESTION DES ENTREPRISES ET DES ADMINISTRATIONS</t>
  </si>
  <si>
    <t xml:space="preserve">LIC PRO ASSURANCE, BANQUE, FINANCE : SUPPORTS OPERATIONNELS </t>
  </si>
  <si>
    <t>MAST ENERGIE</t>
  </si>
  <si>
    <t>Journée d'étude (suivi)</t>
  </si>
  <si>
    <t>JESUIV</t>
  </si>
  <si>
    <t>2032-2033</t>
  </si>
  <si>
    <t>Documentation</t>
  </si>
  <si>
    <t>LP MAEP : Milieux Aquatiques et Eaux Pluviales</t>
  </si>
  <si>
    <t>T&amp;T</t>
  </si>
  <si>
    <t>BUT GESTION LOGISTIQUE ET TRANSPORT</t>
  </si>
  <si>
    <t xml:space="preserve">LIC PRO LOGISTIQUE ET PILOTAGE DES FLUX </t>
  </si>
  <si>
    <t>Journée d'étude (TD)</t>
  </si>
  <si>
    <t>JETD</t>
  </si>
  <si>
    <t>Gestion des formations</t>
  </si>
  <si>
    <t>Vie étudiante</t>
  </si>
  <si>
    <t>LP NAVIL : Nature en Ville</t>
  </si>
  <si>
    <t>BUT HYGIENE SECURITE ENVIRONNEMENT</t>
  </si>
  <si>
    <t>Journée d'étude (CM)</t>
  </si>
  <si>
    <t>JECM</t>
  </si>
  <si>
    <t>Gouvernance et pilotage</t>
  </si>
  <si>
    <t>LP PTCCG : Produits du terroir, Circuits Courts et Gastronomie</t>
  </si>
  <si>
    <t>BUT QUALITE, LOGISTIQUE INDUSTRIELLE ET ORGANISATION</t>
  </si>
  <si>
    <t>Suivi (stage, projet, mémoire)</t>
  </si>
  <si>
    <t>SUIV</t>
  </si>
  <si>
    <t>CFA Lyon 2</t>
  </si>
  <si>
    <t>Immobilier</t>
  </si>
  <si>
    <t>MASTER 1 CDO</t>
  </si>
  <si>
    <t>BUT STATISTIQUE ET INFORMATIQUE DECISIONNELLE</t>
  </si>
  <si>
    <t>CFA externe</t>
  </si>
  <si>
    <t>Système d'information et numériques</t>
  </si>
  <si>
    <t>MASTER 1 Info-Com / GECI : Gestion Editoriale et Communication Internet</t>
  </si>
  <si>
    <t>PSYCHO</t>
  </si>
  <si>
    <t>LIC PSYCHOLOGIE</t>
  </si>
  <si>
    <t>MAST PSYCHOLOGIE</t>
  </si>
  <si>
    <t>DU APR</t>
  </si>
  <si>
    <t>CAF PSYEN</t>
  </si>
  <si>
    <t>SCFC</t>
  </si>
  <si>
    <t>MASTER 1 Informatique</t>
  </si>
  <si>
    <t>LIC SCIENCES COGNITIVES</t>
  </si>
  <si>
    <t xml:space="preserve">MAST PSYCHOLOGIE : PSYCHOPATHOLOGIE CLINIQUE PSYCHANALYTIQUE </t>
  </si>
  <si>
    <t>DUBPSY</t>
  </si>
  <si>
    <t>Dotation horaire FI</t>
  </si>
  <si>
    <t>MASTER 1 Journalisme</t>
  </si>
  <si>
    <t>MAST PSYCHOLOGIE CLINIQUE, PSYCHOPATHOLOGIE ET PSYCHOLOGIE DE LA SANTE</t>
  </si>
  <si>
    <t>DUCAAMA</t>
  </si>
  <si>
    <t>MASTER 2 CDO / CHS : Communication, Humanitaire et Solidarités</t>
  </si>
  <si>
    <t>MAST PSYCHOLOGIE DE L'EDUCATION ET DE LA FORMATION</t>
  </si>
  <si>
    <t>DUCTI</t>
  </si>
  <si>
    <t>MASTER 2 CDO / CSMIO : Communication Sociale et Management de l'Information dans les Organisations</t>
  </si>
  <si>
    <t>MAST PSYCHOLOGIE SOCIALE, DU TRAVAIL ET DES ORGANISATIONS</t>
  </si>
  <si>
    <t>DUPPABF</t>
  </si>
  <si>
    <t>niveau de diplôme</t>
  </si>
  <si>
    <t>MASTER 2 DPEC / DPACI : Développement de Projets Artistiques et Culturels Internationaux</t>
  </si>
  <si>
    <t>MAST SCIENCES COGNITIVES</t>
  </si>
  <si>
    <t>MASTER 2 Info-Com / GECI : Gestion Editoriale et Communication Internet</t>
  </si>
  <si>
    <t>LIC MIASHS</t>
  </si>
  <si>
    <t>MAST ANTHROPOLOGIE</t>
  </si>
  <si>
    <t>DU EGALITES</t>
  </si>
  <si>
    <t>MASTER 2 Informatique / BI&amp;A : Business Intelligence et Analytics</t>
  </si>
  <si>
    <t>LIC SCIENCE POLITIQUE</t>
  </si>
  <si>
    <t>MAST ETUDES SUR LE GENRE</t>
  </si>
  <si>
    <t>DU LOGEMENT D'ABORD</t>
  </si>
  <si>
    <t>MASTER 2 Informatique / CIM : Conception et Intégration Multimédia</t>
  </si>
  <si>
    <t>LIC SCIENCES DE L'HOMME, ANTHROPOLOGIE, ETHNOLOGIE</t>
  </si>
  <si>
    <t xml:space="preserve">MAST INTERVENTION ET DEVELOPPEMENT SOCIAL </t>
  </si>
  <si>
    <t>DUAIN</t>
  </si>
  <si>
    <t>MASTER 2 Informatique / MALIA : Machine Learning for Artificial Intelligence</t>
  </si>
  <si>
    <t>LIC SCIENCES SOCIALES</t>
  </si>
  <si>
    <t>MAST MIASHS</t>
  </si>
  <si>
    <t>MASTER 2 Journalisme / NPJ : Nouvelles Pratiques Journalistiques</t>
  </si>
  <si>
    <t>LIC SOCIOLOGIE</t>
  </si>
  <si>
    <t>MAST SCIENCE POLITIQUE</t>
  </si>
  <si>
    <t>MASTER 2 OPSIE : organisation et protection des SI en entreprise - FC</t>
  </si>
  <si>
    <t>Formation_courte</t>
  </si>
  <si>
    <t>MASTER 2 DCDP : Développement Culturel et Direction des Projets - FC</t>
  </si>
  <si>
    <t>MAST SOCIOLOGIE</t>
  </si>
  <si>
    <t>MASTER 2 VCIEL : Visualisation et conception infographique en ligne - FC</t>
  </si>
  <si>
    <t xml:space="preserve">MAST VILLE ET ENVIRONNEMENTS URBAINS </t>
  </si>
  <si>
    <t>MASTER 2 LEA / CILA : Marketing &amp; Digital Business, Commerce Iinternational et Langues Appliquées</t>
  </si>
  <si>
    <t>LIC ADMINISTRATION PUBLIQUE</t>
  </si>
  <si>
    <t>LIC PRO ACTIVITES JURIDIQUES : ASSISTANT JURIDIQUE</t>
  </si>
  <si>
    <t>MAST ADMINISTRATION PUBLIQUE</t>
  </si>
  <si>
    <t>DU DROIT ALLEMAND (DUDA)</t>
  </si>
  <si>
    <t>CAPACITE EN DROIT</t>
  </si>
  <si>
    <t>MASTER 1 FORSE : formation et ressources en sciences de l'éducation - FC</t>
  </si>
  <si>
    <t>LIC DROIT</t>
  </si>
  <si>
    <t>LIC PRO METIERS DU BTP : TRAVAUX PUBLICS</t>
  </si>
  <si>
    <t>MAST DROIT PRIVE</t>
  </si>
  <si>
    <t>DU DROIT ESPAGNOL (DUDE)</t>
  </si>
  <si>
    <t>MASTER 2 FORSE : formation et ressources en sciences de l'éducation - FC</t>
  </si>
  <si>
    <t>MAST DROIT PUBLIC</t>
  </si>
  <si>
    <t>DU DROIT INTERNATIONAL ET COMPARE</t>
  </si>
  <si>
    <t>MASTER 2 MIFA : Métiers de l'insertion et de la formation des adultes - FC</t>
  </si>
  <si>
    <t>MAST JUSTICE, PROCES ET PROCEDURES</t>
  </si>
  <si>
    <t>DU DROIT ITALIEN (DUDI)</t>
  </si>
  <si>
    <t>MASTER FPP : formation par la pratique - FC</t>
  </si>
  <si>
    <t>DU JURISTE INTERNATIONAL</t>
  </si>
  <si>
    <t>MASTER en parcours CFP (contrat de formation personnalisé) - FC</t>
  </si>
  <si>
    <t>MASTER 1 MaestrIA</t>
  </si>
  <si>
    <t>DU MANAGEMENT PUBLIC</t>
  </si>
  <si>
    <t>MASTER 2 MaestrIA</t>
  </si>
  <si>
    <t>DU MEDIATION</t>
  </si>
  <si>
    <t>MASTER 2 Musicologie</t>
  </si>
  <si>
    <t>LIC LEA</t>
  </si>
  <si>
    <t>LIC PRO METIERS DU TOURISME : COMMERCIALISATION DES PRODUITS TOURISTIQUES</t>
  </si>
  <si>
    <t>MAST DIDACTIQUE DES LANGUES</t>
  </si>
  <si>
    <t>DU DIALOGUES</t>
  </si>
  <si>
    <t>PREP AGREG</t>
  </si>
  <si>
    <t>MASTER 1 MIASHS : Mathématiques et Informatique Appliquées aux Sciences Humaines et Sociales</t>
  </si>
  <si>
    <t>LIC LLCER</t>
  </si>
  <si>
    <t>MAST LEA</t>
  </si>
  <si>
    <t>DU TRAFA</t>
  </si>
  <si>
    <t>TOEFL/TOEIC</t>
  </si>
  <si>
    <t>MASTER 2 MIASHS : Mathématiques et Informatique Appliquées aux Sciences Humaines et Sociales</t>
  </si>
  <si>
    <t>MAST LLCER</t>
  </si>
  <si>
    <t>CLES</t>
  </si>
  <si>
    <t>MASTER 2 ANACIS : Intervention et developpemet social - FC</t>
  </si>
  <si>
    <t>MAST TRADUCTION ET INTERPRETATION</t>
  </si>
  <si>
    <t>MASTER 2 Sociologie RCT - FC</t>
  </si>
  <si>
    <t>MASTER MEEF</t>
  </si>
  <si>
    <t>MASTER 2 Sociologie SDO - FC</t>
  </si>
  <si>
    <t>LIC ARTS DU SPECTACLE</t>
  </si>
  <si>
    <t>LIC PRO TECHNIQUES DU SON ET DE L'IMAGE</t>
  </si>
  <si>
    <t>MAST ARTS DE LA SCENE ET DU SPECTACLE VIVANT</t>
  </si>
  <si>
    <t>DAEU</t>
  </si>
  <si>
    <t>MASTER 2 Egalités - FC</t>
  </si>
  <si>
    <t>LIC LETTRES</t>
  </si>
  <si>
    <t>MAST CINEMA ET AUDIOVISUEL</t>
  </si>
  <si>
    <t>DU CINEFABRIQUE</t>
  </si>
  <si>
    <t>PREP CAPES</t>
  </si>
  <si>
    <t xml:space="preserve">MASTER 2 CDJ : Commissaire de Justice </t>
  </si>
  <si>
    <t>LIC MUSICOLOGIE</t>
  </si>
  <si>
    <t>MAST FLE</t>
  </si>
  <si>
    <t>DU DIFLES</t>
  </si>
  <si>
    <t>FORMATION CONTINUE</t>
  </si>
  <si>
    <t>MASTER 2 DANTC : Droit des Activités Numériques et Tiers de Confiance</t>
  </si>
  <si>
    <t>LIC SCIENCES DU LANGAGE</t>
  </si>
  <si>
    <t>MAST LETTRES</t>
  </si>
  <si>
    <t>DU FLE</t>
  </si>
  <si>
    <t>MASTER 2 DESC : Droit des Evénement Sportifs et Culturels</t>
  </si>
  <si>
    <t>MAST METIERS DU LIVRE ET DE L'EDITION</t>
  </si>
  <si>
    <t>DUMI</t>
  </si>
  <si>
    <t>MASTER 2 PI-CAE Propriété intellectuelle</t>
  </si>
  <si>
    <t>MAST MUSICOLOGIE</t>
  </si>
  <si>
    <t>MASTER 2 Administration publique - Management public - FC</t>
  </si>
  <si>
    <t xml:space="preserve">MAST SCIENCES DU LANGAGE </t>
  </si>
  <si>
    <t>MASTER 2 Droit Social / JDS : Juriste en Droit Social et en Ingénierie Sociale</t>
  </si>
  <si>
    <t>MASTER 2 Droit Social/ IPS : Ingénierie de la Protection Sociale</t>
  </si>
  <si>
    <t>MASTER 2 Ergonomie - TTES : Travail et Transitions Ecologiques et Sociétales</t>
  </si>
  <si>
    <t>LIC ECONOMIE ET GESTION</t>
  </si>
  <si>
    <t>LIC PRO ASSURANCE, BANQUE, FINANCE : CHARGE DE CLIENTELE</t>
  </si>
  <si>
    <t>MAST ANALYSE ET POLITIQUE ECONOMIQUE</t>
  </si>
  <si>
    <t>DU IEQ</t>
  </si>
  <si>
    <t>MASTER 1 MBFA / CAP-CP : Chargé d'Affaires Professionnels et Conseiller patrimonial</t>
  </si>
  <si>
    <t>LIC PRO MANAGEMENT DES TRANSPORTS ET DE LA DISTRIBUTION</t>
  </si>
  <si>
    <t>MAST ECONOMIE DE L'ENVIRONNEMENT, DE L'ENERGIE ET DES TRANSPORTS</t>
  </si>
  <si>
    <t>MASTER 2 MBFA / CAP-CP : Chargé d'Affaires Professionnels et Conseiller patrimonial</t>
  </si>
  <si>
    <t>MAST ECONOMIE DU TRAVAIL ET DES RESSOURCES HUMAINES</t>
  </si>
  <si>
    <t>MASTER 2 MBFA / MOM : Management des Opérations de Marchés</t>
  </si>
  <si>
    <t>MAST ECONOMIE SOCIALE ET SOLIDAIRE</t>
  </si>
  <si>
    <t>MASTER 2 EITERH : Expertise Intervention sur le Travail, l'Epmloi et les RH</t>
  </si>
  <si>
    <t>MAST MANAGEMENT DE L'INNOVATION</t>
  </si>
  <si>
    <t>MASTER 2 GOESS : Gestion des Organisations de l'ESS</t>
  </si>
  <si>
    <t>MAST MANAGEMENT STRATEGIQUE</t>
  </si>
  <si>
    <t>MASTER 2 TLIC : Transport Logiqtique Inductriel et Commercial</t>
  </si>
  <si>
    <t>MAST MONNAIE, BANQUE, FINANCE, ASSURANCE</t>
  </si>
  <si>
    <t>MASTER 2 TURP : Transports Urbains et Régionaux de Personnes</t>
  </si>
  <si>
    <t>MAST RISQUES ET ENVIRONNEMENT</t>
  </si>
  <si>
    <t>MASTER 2 ESS : économie sociale et solidaire - FC</t>
  </si>
  <si>
    <t>MAST SCIENCES ECONOMIQUES ET SOCIALES</t>
  </si>
  <si>
    <t>MASTER 2 Archéologie, Sciences pour l'Archéologie / Occident et Méditerrannée</t>
  </si>
  <si>
    <t>MASTER 1 Sciences de l'eau</t>
  </si>
  <si>
    <t>LIC GEOGRAPHIE ET AMENAGEMENT</t>
  </si>
  <si>
    <t>LIC PRO METIERS DE LA PROTECTION ET DE LA GESTION DE L'ENVIRONNEMENT</t>
  </si>
  <si>
    <t xml:space="preserve">MAST ARCHEOLOGIE, SCIENCES POUR L'ARCHEOLOGIE </t>
  </si>
  <si>
    <t>DU PATRIMOINE ET GESTION DURABLE</t>
  </si>
  <si>
    <t>MASTER 2 Sciences de l'eau / IGEMAP : Ingénierie des la Gestion des Mileux Aquatiques</t>
  </si>
  <si>
    <t>LIC HISTOIRE</t>
  </si>
  <si>
    <t>LIC PRO METIERS DE L'AMENAGEMENT DU TERRITOIRE ET DE L'URBANISME : NAVIL</t>
  </si>
  <si>
    <t xml:space="preserve">MAST ETUDES EUROPEENNES ET INTERNATIONALES </t>
  </si>
  <si>
    <t>DU2A</t>
  </si>
  <si>
    <t>MASTER 2 Sciences de l'eau / IREMIR : Inégnierie de la Restauration des Milieux et de la Ressource en Eau</t>
  </si>
  <si>
    <t>LIC HISTOIRE DE L'ART ET ARCHEOLOGIE</t>
  </si>
  <si>
    <t xml:space="preserve">LIC PRO METIERS DU TOURISME : COMMERCIALISATION DES PRODUITS TOURISTIQUES </t>
  </si>
  <si>
    <t>MAST GEOMATIQUE</t>
  </si>
  <si>
    <t>DUESE</t>
  </si>
  <si>
    <t>MASTER 2 Sciences de l'eau / IWS - H2O Lyon</t>
  </si>
  <si>
    <t>LIC PRO METIERS DU TOURISME : GUIDE CONFERENCIER</t>
  </si>
  <si>
    <t xml:space="preserve">MAST GESTION DE L'ENVIRONNEMENT </t>
  </si>
  <si>
    <t>MASTER 2 Sciences de l'eau / IGEMAR - Maroc</t>
  </si>
  <si>
    <t>MAST GESTION DES TERRITOIRES ET DEVELOPPEMENT LOCAL</t>
  </si>
  <si>
    <t>MASTER 2 Urbanisme et Aménagement - DUT</t>
  </si>
  <si>
    <t>MAST HISTOIRE</t>
  </si>
  <si>
    <t>MASTER 2 Tourisme / MDTPT : Management Durable des Territoires et des Produits Touristiques</t>
  </si>
  <si>
    <t>MAST HISTOIRE DE L'ART</t>
  </si>
  <si>
    <t>MASTER 1 Energie</t>
  </si>
  <si>
    <t xml:space="preserve">MAST HISTOIRE, CIVILISATIONS ET PATRIMOINE </t>
  </si>
  <si>
    <t>MASTER 2 Energie ISC</t>
  </si>
  <si>
    <t>MAST MONDES ANCIENS</t>
  </si>
  <si>
    <t>MASTER 2 Energie SISPIF</t>
  </si>
  <si>
    <t>MAST MONDES MEDIEVAUX</t>
  </si>
  <si>
    <t>MASTER 2 Energie AMMED parcours international</t>
  </si>
  <si>
    <t>MAST SCIENCES DE L'EAU</t>
  </si>
  <si>
    <t>DU DUETI études technologiques internationales</t>
  </si>
  <si>
    <t>MAST SCIENCES DES RELIGIONS ET SOCIETES</t>
  </si>
  <si>
    <t>DU DUMI Musicien Intervenant dans les ecoles</t>
  </si>
  <si>
    <t>MAST TOURISME</t>
  </si>
  <si>
    <t>DU DUMUSIS Musicien spécialisé musique et petite enfance - FC</t>
  </si>
  <si>
    <t>MAST URBANISME ET AMENAGEMENT</t>
  </si>
  <si>
    <t>DU DIFLES Didactique du Français langue étrangère et seconde - FC</t>
  </si>
  <si>
    <t>DU initiation à la didactique du FLE</t>
  </si>
  <si>
    <t>DU DUCCI Communication et conception infographiques</t>
  </si>
  <si>
    <t>DU DAET Analyse Ergonomique du Travail - FC</t>
  </si>
  <si>
    <t>DU DUTRA Droit du travail - FC</t>
  </si>
  <si>
    <t>DU DGRH Droit et Gestion RH - FC</t>
  </si>
  <si>
    <t>DU DUITS Intervenant en analyse du travail pour la santé et la prévention au travail - FC</t>
  </si>
  <si>
    <t>DU FSEA formation supérieure en ergonomie appliquée</t>
  </si>
  <si>
    <t xml:space="preserve">DU TRAFA-spé Traduction spécialisée Français-Arabe </t>
  </si>
  <si>
    <t>DU DIALOGUES - Médiation, Interprétariat, Migration</t>
  </si>
  <si>
    <t>DAEU (4 matières)</t>
  </si>
  <si>
    <t>DU APR Analyse de la Pratique et Régulation institutionnelle - FC</t>
  </si>
  <si>
    <t>DU MPO Management psychologique des organisations - FC</t>
  </si>
  <si>
    <t>DU AGTA Animateur de groupe thérapeutique ou d'accompagnement - FC</t>
  </si>
  <si>
    <t>DU APG Approche psychanalytique du groupe</t>
  </si>
  <si>
    <t>DU DUBPSY Bilan Psychologique - FC</t>
  </si>
  <si>
    <t>DU DUCTI Cliniques du Travail et Pratiques d'Intervention - FC</t>
  </si>
  <si>
    <t>DU DUCAAMA Concepteur Animateur d'Atelier à Médiation Artistique - FC</t>
  </si>
  <si>
    <t>DU DUPPABF Psychopathologie &amp; Prévention auprès du Bébé et de sa Famille - FC</t>
  </si>
  <si>
    <t>DU DPE droit des personnes étrangères - FC</t>
  </si>
  <si>
    <t>DU DUJI juriste international - FC</t>
  </si>
  <si>
    <t>DU management public - FC</t>
  </si>
  <si>
    <t>DU Médiation en situation conflictuelle - FC</t>
  </si>
  <si>
    <t>DU Egalités - FC</t>
  </si>
  <si>
    <t>DU AIN : Anthropologie et Images Numériques - FC</t>
  </si>
  <si>
    <t>DU logement d'abord - FC</t>
  </si>
  <si>
    <t>DU ESE études spécialisées en égyptologie - FC</t>
  </si>
  <si>
    <t>DU patrimoine et gestion durable</t>
  </si>
  <si>
    <t>DU DU2A langues, histoire et archéologie du Proche et Moyen-Orient ancien</t>
  </si>
  <si>
    <t>DU Initiation économie quantitative</t>
  </si>
  <si>
    <t>DU Accompagnement du parcours universitaire</t>
  </si>
  <si>
    <t>DU Passerelle - étudiants en exil</t>
  </si>
  <si>
    <t>DU PREP'SEG</t>
  </si>
  <si>
    <t>DU FOU arts, langue, image, scène, espace</t>
  </si>
  <si>
    <t>DU FOU communication et média</t>
  </si>
  <si>
    <t>DU FOU management et économie</t>
  </si>
  <si>
    <t>DU DUEF Etudes françaises A1</t>
  </si>
  <si>
    <t>DU DUEF Etudes françaises A2</t>
  </si>
  <si>
    <t>DU DUEF Etudes françaises B1</t>
  </si>
  <si>
    <t>DU DUEF Etudes françaises B2</t>
  </si>
  <si>
    <t>DU DUEF Etudes françaises C1</t>
  </si>
  <si>
    <t>DU DUEF Etudes françaises C2</t>
  </si>
  <si>
    <t>stage été - formation de formateurs/formatrices FLE</t>
  </si>
  <si>
    <t>stage été linguistique et culturel</t>
  </si>
  <si>
    <t>Formation courte - Expertise et terminologie pour les traducteurs juridiques</t>
  </si>
  <si>
    <t>Formation courte - Module DU médiation, interprétation et migration</t>
  </si>
  <si>
    <t>Formation courte - Formation en langue accélérée pour débutants</t>
  </si>
  <si>
    <t>Formation courte - CLES Certification langues</t>
  </si>
  <si>
    <t>Formation courte - IA un outil de compétitivité pour les entreprises</t>
  </si>
  <si>
    <t>Formation courte - Introduction à la programmation PYTHON</t>
  </si>
  <si>
    <t>Formation courte - Introduction au machine learning avec le logiciel R</t>
  </si>
  <si>
    <t>Formation courte - Cultures numériques et mutations des organisations</t>
  </si>
  <si>
    <t>Formation courte - Médiation artistique et culturelle</t>
  </si>
  <si>
    <t>Formation courte - processus de l'œuvre et espaces de production</t>
  </si>
  <si>
    <t>Formation courte - société civile et démocratie culturelle</t>
  </si>
  <si>
    <t>Formation courte - Les risques psychosociaux au travail : diagnostiquer et intervenir</t>
  </si>
  <si>
    <t>Formation courte sur catalogue ou sur mesure</t>
  </si>
  <si>
    <t>Formation courte - Droit des étrangers</t>
  </si>
  <si>
    <t>Formation courte - Médiation</t>
  </si>
  <si>
    <t>Formation courte - Atelier d'écriture de scénario</t>
  </si>
  <si>
    <t>Formation courte - Atelier d'écriture dramatique</t>
  </si>
  <si>
    <t>Formation courte - Atelier d'écriture poétique</t>
  </si>
  <si>
    <t>Formation courte - Atelier langue des signes</t>
  </si>
  <si>
    <t>Formation courte - Lecture rapide</t>
  </si>
  <si>
    <t>Formation courte - Prise de parole en public</t>
  </si>
  <si>
    <t>BUT 1 GEA</t>
  </si>
  <si>
    <t>BUT 2 GEA GC2F</t>
  </si>
  <si>
    <t>BUT 2 GEA GEMA</t>
  </si>
  <si>
    <t>BUT 2 GEA GPRH</t>
  </si>
  <si>
    <t>BUT 3 GEA GC2F</t>
  </si>
  <si>
    <t>BUT 3 GEA GEMA</t>
  </si>
  <si>
    <t>BUT 3 GEA GPRH</t>
  </si>
  <si>
    <t>BUT 1 HSE</t>
  </si>
  <si>
    <t>BUT 2 HSE</t>
  </si>
  <si>
    <t>BUT 3 HSE</t>
  </si>
  <si>
    <t>BUT 1 MLT</t>
  </si>
  <si>
    <t>BUT 2 MLT MSCC</t>
  </si>
  <si>
    <t>BUT 2 MLT MSCD</t>
  </si>
  <si>
    <t>BUT 3 MLT MSCC</t>
  </si>
  <si>
    <t>BUT 3 MLT MSCD</t>
  </si>
  <si>
    <t>BUT 1 QLIO</t>
  </si>
  <si>
    <t>BUT 2 QLIO QMI</t>
  </si>
  <si>
    <t>BUT 2 QLIO OSC</t>
  </si>
  <si>
    <t>BUT 2 QLIO MTD</t>
  </si>
  <si>
    <t>BUT 3 QLIO QMI</t>
  </si>
  <si>
    <t>BUT 3 QLIO OSC</t>
  </si>
  <si>
    <t>BUT 3 QLIO MTD</t>
  </si>
  <si>
    <t>BUT 1 SD</t>
  </si>
  <si>
    <t>BUT 2 SD EMS</t>
  </si>
  <si>
    <t>BUT 2 SD VCOD</t>
  </si>
  <si>
    <t>BUT 3 SD EMS</t>
  </si>
  <si>
    <t>BUT 3 SD VCOD</t>
  </si>
  <si>
    <t>FC - PsyEN psychologue de l'Education Nationale</t>
  </si>
  <si>
    <t>M2 ispef ERE - FC</t>
  </si>
  <si>
    <t>M2 ispef DOE - FC</t>
  </si>
  <si>
    <t>M2 ispef MIFEF - FC</t>
  </si>
  <si>
    <t>L3 ispef CRPE - FC</t>
  </si>
  <si>
    <t>M2 T&amp;T GTDL - FC</t>
  </si>
  <si>
    <t>M2 T&amp;T LLCA - FC</t>
  </si>
  <si>
    <t>M2 T&amp;T SRS - FC</t>
  </si>
  <si>
    <t>M2 seg MIPI - FC</t>
  </si>
  <si>
    <t>PREVISIONNEL</t>
  </si>
  <si>
    <t>PAYANT</t>
  </si>
  <si>
    <t>MIXTE</t>
  </si>
  <si>
    <t>TOTAL</t>
  </si>
  <si>
    <t>A. 1.1</t>
  </si>
  <si>
    <t>Enseignants titulaires</t>
  </si>
  <si>
    <t>A. 1.2</t>
  </si>
  <si>
    <t>Enseignants non titulaires</t>
  </si>
  <si>
    <t>A. 1.3</t>
  </si>
  <si>
    <t>Vacataires</t>
  </si>
  <si>
    <t>A. 1.4</t>
  </si>
  <si>
    <t>Heures compl</t>
  </si>
  <si>
    <t>TOTAL heures ETD enseignement disciplinaire</t>
  </si>
  <si>
    <t>A.2</t>
  </si>
  <si>
    <t>ACCOMPAGNEMENT</t>
  </si>
  <si>
    <t>A. 2.1</t>
  </si>
  <si>
    <t>Accompagnement projet</t>
  </si>
  <si>
    <t>A. 2.2</t>
  </si>
  <si>
    <t>Suivi mémoires</t>
  </si>
  <si>
    <t>A. 2.3</t>
  </si>
  <si>
    <t>Visite en stage</t>
  </si>
  <si>
    <t>A. 2.4</t>
  </si>
  <si>
    <t>Tutorat alternance</t>
  </si>
  <si>
    <t>A. 2.5</t>
  </si>
  <si>
    <t>Sorties pédagogiques / journées d'étude</t>
  </si>
  <si>
    <t>TOTAL heures accompagnement pédagogique</t>
  </si>
  <si>
    <t>A.3</t>
  </si>
  <si>
    <t>ENCADREMENT ET PILOTAGE DU DIPLÔME</t>
  </si>
  <si>
    <t>A. 3.1</t>
  </si>
  <si>
    <t>A. 3.2</t>
  </si>
  <si>
    <t>Heures de recrutement (1 / 20 dossiers)</t>
  </si>
  <si>
    <t>A. 3.3</t>
  </si>
  <si>
    <t>TOTAL heures encadrement et pilotage du diplôme</t>
  </si>
  <si>
    <t>TOTAL HEURES FORMATION</t>
  </si>
  <si>
    <t>REEL</t>
  </si>
  <si>
    <t>RECETTES ET SIMULATIONS PREVISIONNELLES</t>
  </si>
  <si>
    <t>Etablissement</t>
  </si>
  <si>
    <t>Université Lumière Lyon 2</t>
  </si>
  <si>
    <t>RNCP</t>
  </si>
  <si>
    <t>Nom de la formation</t>
  </si>
  <si>
    <t>Résultat sur la part relevant de la formation initiale</t>
  </si>
  <si>
    <t>Données financières pour la part autofinancée</t>
  </si>
  <si>
    <t>Résultat de la part autofinancée</t>
  </si>
  <si>
    <t>Résultat total de la formation (FI+autofinancé)</t>
  </si>
  <si>
    <t>DROITS D'INSCRIPTION FI/FA/FC</t>
  </si>
  <si>
    <t>Tarif</t>
  </si>
  <si>
    <t>Type de dispositif</t>
  </si>
  <si>
    <t>Tarif de la formation</t>
  </si>
  <si>
    <t>Droits nationaux</t>
  </si>
  <si>
    <t>Nombre inscrits</t>
  </si>
  <si>
    <t>Tarif horaire</t>
  </si>
  <si>
    <t>Taux d'absentéisme (en %)</t>
  </si>
  <si>
    <t>Recettes (avec absentéisme)</t>
  </si>
  <si>
    <t>Tarif horaire avec absentéisme</t>
  </si>
  <si>
    <t>Commentaire/description du tarif</t>
  </si>
  <si>
    <t>Contrat de professionnalisation</t>
  </si>
  <si>
    <t>FORMATION INITIALE</t>
  </si>
  <si>
    <t>Contrat d'apprentissage</t>
  </si>
  <si>
    <t>FORMATION SUR RESSOURCES PROPRES</t>
  </si>
  <si>
    <t>TARIF 1</t>
  </si>
  <si>
    <t>TARIF 2</t>
  </si>
  <si>
    <t>TARIF 3</t>
  </si>
  <si>
    <t>TARIF 4</t>
  </si>
  <si>
    <t>TARIF 5</t>
  </si>
  <si>
    <t>TARIF 6</t>
  </si>
  <si>
    <t>TARIF 7</t>
  </si>
  <si>
    <t>TARIF 8</t>
  </si>
  <si>
    <t>TARIF 9</t>
  </si>
  <si>
    <t>TARIF 10</t>
  </si>
  <si>
    <t>Total droits d'inscription payés</t>
  </si>
  <si>
    <t>SUBVENTIONS ET AUTRES FINANCEMENTS (hors SCSP)</t>
  </si>
  <si>
    <t>Type de financement</t>
  </si>
  <si>
    <t>Total Ressources propres</t>
  </si>
  <si>
    <t>RECETTES ET SIMULATIONS REALISEES</t>
  </si>
  <si>
    <t>BUDGET PREVISIONNEL</t>
  </si>
  <si>
    <t>REPARTITION EN CAS DE PARTENARIAT</t>
  </si>
  <si>
    <t>DEPENSES</t>
  </si>
  <si>
    <t>A</t>
  </si>
  <si>
    <t>REALISATION, PREPARATION DES ENSEIGNEMENTS et CHARGES SPECIFIQUES A CETTE FORMATION</t>
  </si>
  <si>
    <t>Nombre d'Heures à payer (HETD)</t>
  </si>
  <si>
    <t>Coût horaire</t>
  </si>
  <si>
    <t>Part financée par SCSP (FI)</t>
  </si>
  <si>
    <t>Part financée sur ressources propres (FA/FC)</t>
  </si>
  <si>
    <t>Lyon 2</t>
  </si>
  <si>
    <t>Partenaire 1</t>
  </si>
  <si>
    <t>Partenaire 2</t>
  </si>
  <si>
    <t>Partenaire 3</t>
  </si>
  <si>
    <t>CHARGES DIRECTES DE PERSONNEL ENSEIGNANT</t>
  </si>
  <si>
    <t>du CA</t>
  </si>
  <si>
    <t>A.1</t>
  </si>
  <si>
    <t>ENSEIGNEMENT DISCIPLINAIRE</t>
  </si>
  <si>
    <t>données 2024 extraites de P2CA + 3% revalorisation</t>
  </si>
  <si>
    <t>Accompagnement Projet</t>
  </si>
  <si>
    <t>Suivi mémoire - Soutenance</t>
  </si>
  <si>
    <t>Sorties pédagogiques / Journées d'étude</t>
  </si>
  <si>
    <t>Masse salariale enseignants directe par apprenant</t>
  </si>
  <si>
    <t>A.4</t>
  </si>
  <si>
    <t>Ratio</t>
  </si>
  <si>
    <t>MS annuelle</t>
  </si>
  <si>
    <t>A. 4.1</t>
  </si>
  <si>
    <t>A. 4.2</t>
  </si>
  <si>
    <t>A. 4.3</t>
  </si>
  <si>
    <t>A. 4.4</t>
  </si>
  <si>
    <t>A. 4.5</t>
  </si>
  <si>
    <t>Masse salariale administratif directe par apprenant</t>
  </si>
  <si>
    <t>TOTAL  Masse salariale directe par étudiant</t>
  </si>
  <si>
    <t>CHARGES DIRECTES DE FONCTIONNEMENT</t>
  </si>
  <si>
    <t>A.5</t>
  </si>
  <si>
    <t>A.5.1</t>
  </si>
  <si>
    <t>A.5.2</t>
  </si>
  <si>
    <t>A.5.3</t>
  </si>
  <si>
    <t>A.5.4</t>
  </si>
  <si>
    <t>A.5.5</t>
  </si>
  <si>
    <t>A.5.6</t>
  </si>
  <si>
    <t>A.5.7</t>
  </si>
  <si>
    <t>A.5.8</t>
  </si>
  <si>
    <t>Charges de fonctionnement par apprenant</t>
  </si>
  <si>
    <t xml:space="preserve">TOTAL DES CHARGES DIRECTES </t>
  </si>
  <si>
    <t>Monant de charges directes par apprenant</t>
  </si>
  <si>
    <t>B</t>
  </si>
  <si>
    <t>CHARGES COMMUNES ET INDIRECTES</t>
  </si>
  <si>
    <t>Montant par apprenant</t>
  </si>
  <si>
    <t>CHARGES INDIRECTES DE SOUTIEN</t>
  </si>
  <si>
    <t>B. 1.1</t>
  </si>
  <si>
    <t>B. 1.2</t>
  </si>
  <si>
    <t>B. 1.3</t>
  </si>
  <si>
    <t>B. 1.4</t>
  </si>
  <si>
    <t>CHARGES INDIRECTES DE SUPPORT</t>
  </si>
  <si>
    <t>B. 2.1</t>
  </si>
  <si>
    <t>B. 2.2</t>
  </si>
  <si>
    <t>B.2.3</t>
  </si>
  <si>
    <t>Systèmes d'information et numériques</t>
  </si>
  <si>
    <t xml:space="preserve">TOTAL CHARGES INDIRECTES </t>
  </si>
  <si>
    <t>des dépenses</t>
  </si>
  <si>
    <t>Montant de charges indirectes par apprenant</t>
  </si>
  <si>
    <t xml:space="preserve">TOTAL DES DEPENSES </t>
  </si>
  <si>
    <t>Coût complet par apprenant</t>
  </si>
  <si>
    <t>Coût complet par heure d'enseignement</t>
  </si>
  <si>
    <t>RECETTES</t>
  </si>
  <si>
    <t>C</t>
  </si>
  <si>
    <t>SOURCES DE FINANCEMENT</t>
  </si>
  <si>
    <t>Droits Nationaux</t>
  </si>
  <si>
    <t>Tarif ressources propres</t>
  </si>
  <si>
    <t>C.1.1</t>
  </si>
  <si>
    <t>Droits d'inscription</t>
  </si>
  <si>
    <t>C.1.2</t>
  </si>
  <si>
    <t>Subventions et autres ressources propres</t>
  </si>
  <si>
    <t xml:space="preserve">TOTAL DES RECETTES </t>
  </si>
  <si>
    <t>Recette moyenne par apprenant</t>
  </si>
  <si>
    <t>RESULTAT (avant prise en compte de la subvention pour charges de service publique)</t>
  </si>
  <si>
    <t>Valorisation de la dotation établissement</t>
  </si>
  <si>
    <t>RESULTAT (après prise en compte de la subvention pour charges de service publique)</t>
  </si>
  <si>
    <t>BUDGET REALISE</t>
  </si>
  <si>
    <t>EXCEDENT MOBILISABLE PREVISIONNEL</t>
  </si>
  <si>
    <t>CHARGES</t>
  </si>
  <si>
    <t>TOTAL DES CHARGES DIRECTES DE PERSONNEL</t>
  </si>
  <si>
    <t>PARTICIPATION AU TITRE DES CHARGES CENTRALES ET COMMUNES</t>
  </si>
  <si>
    <t>B.1.1</t>
  </si>
  <si>
    <t>Formation</t>
  </si>
  <si>
    <t>B.1.2</t>
  </si>
  <si>
    <t>B.1.3</t>
  </si>
  <si>
    <t>TOTAL PARTICIPATION AU TITRE DES CHARGES CENTRALES ET COMMUNES</t>
  </si>
  <si>
    <t>TOTAL CHARGES</t>
  </si>
  <si>
    <t>Droits d'inscription Alternance</t>
  </si>
  <si>
    <t>Subventions et autres financements</t>
  </si>
  <si>
    <t>TOTAL DES RECETTES</t>
  </si>
  <si>
    <t>D.1.2</t>
  </si>
  <si>
    <t>Dotation FI  (h)</t>
  </si>
  <si>
    <t>EXCEDENT MOBILISABLE</t>
  </si>
  <si>
    <t>CHARGES DIRECTES - DEPENSES DE FONCTIONNEMENT PREVISIONNELLES</t>
  </si>
  <si>
    <t>EXCEDENT MOBILISABLE CONSOLIDE</t>
  </si>
  <si>
    <t>EXCEDENT MOBILISABLE REALISE</t>
  </si>
  <si>
    <t>CHARGES DIRECTES - DEPENSES DE FONCTIONNEMENT REELLES</t>
  </si>
  <si>
    <t>Excédent mobilisable</t>
  </si>
  <si>
    <t>FTLV</t>
  </si>
  <si>
    <t>Dépenses de personnel</t>
  </si>
  <si>
    <t>Enseignants</t>
  </si>
  <si>
    <t>Administratifs</t>
  </si>
  <si>
    <t>Nb inscrits</t>
  </si>
  <si>
    <t>Participation aux dépenses centrales et mutualisées</t>
  </si>
  <si>
    <t>Total FI</t>
  </si>
  <si>
    <t>Total payants</t>
  </si>
  <si>
    <t>Apprentis</t>
  </si>
  <si>
    <t>Total participation aux charges mutualisées</t>
  </si>
  <si>
    <t>Contrat pro</t>
  </si>
  <si>
    <t>Recettes FTLV</t>
  </si>
  <si>
    <t>Formation continue</t>
  </si>
  <si>
    <t>Dotation</t>
  </si>
  <si>
    <t>Capacité des CM</t>
  </si>
  <si>
    <t>Capacité des TD</t>
  </si>
  <si>
    <t>Résultat en coût complet</t>
  </si>
  <si>
    <t>Charges de fonctionnement</t>
  </si>
  <si>
    <t>Total charges</t>
  </si>
  <si>
    <t>Recettes</t>
  </si>
  <si>
    <t>Résultat hors charges de fonctionnement</t>
  </si>
  <si>
    <t>Résultat en coûts complet</t>
  </si>
  <si>
    <t xml:space="preserve">Répartition des heures d'enseignement V1 (en fonction </t>
  </si>
  <si>
    <t>Dotation FI au prorata des étudiants</t>
  </si>
  <si>
    <t>H/E</t>
  </si>
  <si>
    <t>SEUILS D'OUVERTURE</t>
  </si>
  <si>
    <t>Total coûts</t>
  </si>
  <si>
    <t>Coûts à couvrir pour ouvrir une nouvelle formation</t>
  </si>
  <si>
    <t>Seuil d'inscriptions pour ouvrir un nouvelle formation</t>
  </si>
  <si>
    <t>Seuil d'inscriptions pour couvrir la totalité des coûts</t>
  </si>
  <si>
    <t>Répartition des heures d'enseignement (dotation estimative pour la FI)</t>
  </si>
  <si>
    <t>Tableau des critères d'aide à la décision</t>
  </si>
  <si>
    <t>ouverture</t>
  </si>
  <si>
    <t>Renouvellement</t>
  </si>
  <si>
    <t>les recettes couvrent les coûts minimums (MS enseignants + charges directes + charges indirectes SCFC) pour la totalité de la formation (cellule I8)
                                         OU
les recettes couvrent les coûts minimums des inscrits payants ET la composante prélève les heures FI (cellule J11) sur sa dotation</t>
  </si>
  <si>
    <t>les recettes couvrent les coûts complets pour la totalité de la formation (cellule I7)
                                         OU
les recettes couvrent les coûts complets des inscrits payants (cellule K7) ET la composante prélève les heures FI (cellule J11) sur sa dotation</t>
  </si>
  <si>
    <t>100% alternance/FC</t>
  </si>
  <si>
    <t>les recettes couvrent les coûts minimums (MS enseignants + charges directes + charges indirectes SCFC) pour la totalité de la formation (cellule I8)</t>
  </si>
  <si>
    <t>les recettes couvrent les coûts complets pour la totalité de la formation (cellule I7)</t>
  </si>
  <si>
    <t>14x2160 (tarif1 individuel) + 6x3300 (tarif2 PEC)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</si>
</sst>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6" formatCode="#,##0\ &quot;€&quot;;[Red]\-#,##0\ &quot;€&quot;"/>
    <numFmt numFmtId="44" formatCode="_-* #,##0.00\ &quot;€&quot;_-;\-* #,##0.00\ &quot;€&quot;_-;_-* &quot;-&quot;??\ &quot;€&quot;_-;_-@_-"/>
    <numFmt numFmtId="164" formatCode="_-* #,##0.00\ _€_-;\-* #,##0.00\ _€_-;_-* &quot;-&quot;??\ _€_-;_-@_-"/>
    <numFmt numFmtId="165" formatCode="0.0"/>
    <numFmt numFmtId="166" formatCode="_-* #,##0.00\ &quot;BF&quot;_-;\-* #,##0.00\ &quot;BF&quot;_-;_-* &quot;-&quot;??\ &quot;BF&quot;_-;_-@_-"/>
    <numFmt numFmtId="167" formatCode="#,##0\ &quot;F&quot;"/>
    <numFmt numFmtId="168" formatCode="_-* #,##0.00\ _B_F_-;\-* #,##0.00\ _B_F_-;_-* &quot;-&quot;??\ _B_F_-;_-@_-"/>
    <numFmt numFmtId="169" formatCode="#,##0\ &quot;€&quot;"/>
    <numFmt numFmtId="170" formatCode="_-* #,##0\ [$€]_-;\-* #,##0\ [$€]_-;_-* &quot;-&quot;??\ [$€]_-;_-@_-"/>
    <numFmt numFmtId="171" formatCode="_-* #,##0\ [$€-803]_-;\-* #,##0\ [$€-803]_-;_-* &quot;-&quot;??\ [$€-803]_-;_-@_-"/>
    <numFmt numFmtId="172" formatCode="#,##0.00_ ;\-#,##0.00\ "/>
    <numFmt numFmtId="173" formatCode="_-* #,##0\ &quot;€&quot;_-;\-* #,##0\ &quot;€&quot;_-;_-* &quot;-&quot;??\ &quot;€&quot;_-;_-@_-"/>
    <numFmt numFmtId="174" formatCode="#,##0.00\ &quot;€&quot;"/>
    <numFmt numFmtId="175" formatCode="_-* #,##0\ _€_-;\-* #,##0\ _€_-;_-* &quot;-&quot;??\ _€_-;_-@_-"/>
    <numFmt numFmtId="176" formatCode="_-* #,##0.0\ _€_-;\-* #,##0.0\ _€_-;_-* &quot;-&quot;??\ _€_-;_-@_-"/>
    <numFmt numFmtId="177" formatCode="_-* #,##0\ [$€-803]_-;\-* #,##0\ [$€-803]_-;_-* &quot;-&quot;\ [$€-803]_-;_-@_-"/>
    <numFmt numFmtId="178" formatCode="0.0%"/>
  </numFmts>
  <fonts count="71"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theme="10"/>
      <name val="Arial"/>
      <family val="2"/>
    </font>
    <font>
      <u/>
      <sz val="10"/>
      <color theme="11"/>
      <name val="Arial"/>
      <family val="2"/>
    </font>
    <font>
      <sz val="10"/>
      <name val="Arial"/>
      <family val="2"/>
    </font>
    <font>
      <sz val="10"/>
      <name val="Calibri"/>
      <family val="2"/>
      <scheme val="minor"/>
    </font>
    <font>
      <b/>
      <sz val="10"/>
      <name val="Calibri"/>
      <family val="2"/>
      <scheme val="minor"/>
    </font>
    <font>
      <b/>
      <sz val="10"/>
      <color theme="0"/>
      <name val="Calibri"/>
      <family val="2"/>
      <scheme val="minor"/>
    </font>
    <font>
      <b/>
      <sz val="11"/>
      <color theme="0"/>
      <name val="Calibri"/>
      <family val="2"/>
      <scheme val="minor"/>
    </font>
    <font>
      <sz val="10"/>
      <color rgb="FF000000"/>
      <name val="Times New Roman"/>
      <family val="1"/>
    </font>
    <font>
      <sz val="12"/>
      <name val="Calibri"/>
      <family val="2"/>
      <scheme val="minor"/>
    </font>
    <font>
      <b/>
      <sz val="12"/>
      <name val="Calibri"/>
      <family val="2"/>
      <scheme val="minor"/>
    </font>
    <font>
      <sz val="12"/>
      <color theme="1"/>
      <name val="Calibri"/>
      <family val="2"/>
      <scheme val="minor"/>
    </font>
    <font>
      <b/>
      <sz val="12"/>
      <color theme="0"/>
      <name val="Calibri"/>
      <family val="2"/>
      <scheme val="minor"/>
    </font>
    <font>
      <sz val="12"/>
      <color rgb="FF000000"/>
      <name val="Calibri"/>
      <family val="2"/>
      <scheme val="minor"/>
    </font>
    <font>
      <b/>
      <sz val="12"/>
      <color theme="1"/>
      <name val="Calibri"/>
      <family val="2"/>
      <scheme val="minor"/>
    </font>
    <font>
      <sz val="10"/>
      <color theme="0"/>
      <name val="Calibri"/>
      <family val="2"/>
      <scheme val="minor"/>
    </font>
    <font>
      <b/>
      <sz val="9"/>
      <color indexed="81"/>
      <name val="Tahoma"/>
      <family val="2"/>
    </font>
    <font>
      <sz val="9"/>
      <color indexed="81"/>
      <name val="Tahoma"/>
      <family val="2"/>
    </font>
    <font>
      <sz val="10"/>
      <color indexed="62"/>
      <name val="Calibri"/>
      <family val="2"/>
      <scheme val="minor"/>
    </font>
    <font>
      <b/>
      <sz val="10"/>
      <color rgb="FFFF0000"/>
      <name val="Calibri"/>
      <family val="2"/>
      <scheme val="minor"/>
    </font>
    <font>
      <sz val="10"/>
      <color rgb="FFFF0000"/>
      <name val="Calibri"/>
      <family val="2"/>
      <scheme val="minor"/>
    </font>
    <font>
      <sz val="12"/>
      <color theme="0"/>
      <name val="Calibri"/>
      <family val="2"/>
      <scheme val="minor"/>
    </font>
    <font>
      <b/>
      <sz val="10"/>
      <name val="Arial"/>
      <family val="2"/>
    </font>
    <font>
      <sz val="11"/>
      <color rgb="FF000000"/>
      <name val="Calibri"/>
      <family val="2"/>
    </font>
    <font>
      <b/>
      <sz val="10"/>
      <color theme="0"/>
      <name val="Arial"/>
      <family val="2"/>
    </font>
    <font>
      <sz val="10"/>
      <color rgb="FF000000"/>
      <name val="Calibri"/>
      <family val="2"/>
      <scheme val="minor"/>
    </font>
    <font>
      <sz val="10"/>
      <name val="Arial"/>
      <family val="2"/>
    </font>
    <font>
      <sz val="9"/>
      <name val="Arial"/>
      <family val="2"/>
    </font>
    <font>
      <sz val="10"/>
      <color theme="0"/>
      <name val="Arial"/>
      <family val="2"/>
    </font>
    <font>
      <b/>
      <sz val="16"/>
      <color theme="0"/>
      <name val="Arial"/>
      <family val="2"/>
    </font>
    <font>
      <b/>
      <sz val="11"/>
      <name val="Calibri"/>
      <family val="2"/>
      <scheme val="minor"/>
    </font>
    <font>
      <b/>
      <u/>
      <sz val="10"/>
      <color theme="0"/>
      <name val="Calibri"/>
      <family val="2"/>
      <scheme val="minor"/>
    </font>
    <font>
      <sz val="10"/>
      <color rgb="FFFF8B8B"/>
      <name val="Arial"/>
      <family val="2"/>
    </font>
    <font>
      <i/>
      <sz val="9"/>
      <name val="Arial"/>
      <family val="2"/>
    </font>
    <font>
      <sz val="8"/>
      <name val="Calibri"/>
      <family val="2"/>
      <scheme val="minor"/>
    </font>
    <font>
      <b/>
      <sz val="8"/>
      <name val="Calibri"/>
      <family val="2"/>
      <scheme val="minor"/>
    </font>
    <font>
      <b/>
      <sz val="10"/>
      <name val="Trebuchet MS"/>
      <family val="2"/>
    </font>
    <font>
      <sz val="10"/>
      <name val="Trebuchet MS"/>
      <family val="2"/>
    </font>
    <font>
      <b/>
      <sz val="11"/>
      <name val="Trebuchet MS"/>
      <family val="2"/>
    </font>
    <font>
      <sz val="9"/>
      <color rgb="FFFF8B8B"/>
      <name val="Arial"/>
      <family val="2"/>
    </font>
    <font>
      <sz val="9"/>
      <color rgb="FF000000"/>
      <name val="Calibri"/>
      <family val="2"/>
    </font>
    <font>
      <sz val="8"/>
      <color rgb="FF000000"/>
      <name val="Calibri"/>
      <family val="2"/>
    </font>
    <font>
      <sz val="10"/>
      <color theme="0" tint="-0.499984740745262"/>
      <name val="Arial"/>
      <family val="2"/>
    </font>
    <font>
      <sz val="11"/>
      <color theme="0" tint="-0.499984740745262"/>
      <name val="Calibri"/>
      <family val="2"/>
      <scheme val="minor"/>
    </font>
    <font>
      <i/>
      <sz val="10"/>
      <name val="Arial"/>
      <family val="2"/>
    </font>
    <font>
      <i/>
      <sz val="11"/>
      <name val="Calibri"/>
      <family val="2"/>
      <scheme val="minor"/>
    </font>
    <font>
      <sz val="8"/>
      <name val="Arial"/>
      <family val="2"/>
    </font>
    <font>
      <i/>
      <sz val="10"/>
      <name val="Calibri"/>
      <family val="2"/>
      <scheme val="minor"/>
    </font>
    <font>
      <sz val="11"/>
      <color rgb="FFFF0000"/>
      <name val="Calibri"/>
      <family val="2"/>
      <scheme val="minor"/>
    </font>
    <font>
      <vertAlign val="subscript"/>
      <sz val="10"/>
      <name val="Calibri"/>
      <family val="2"/>
      <scheme val="minor"/>
    </font>
    <font>
      <b/>
      <sz val="8"/>
      <color theme="1"/>
      <name val="Calibri"/>
      <family val="2"/>
      <scheme val="minor"/>
    </font>
    <font>
      <sz val="8"/>
      <color rgb="FF00B0F0"/>
      <name val="Calibri"/>
      <family val="2"/>
      <scheme val="minor"/>
    </font>
    <font>
      <sz val="8"/>
      <color rgb="FF0070C0"/>
      <name val="Calibri"/>
      <family val="2"/>
      <scheme val="minor"/>
    </font>
    <font>
      <sz val="10"/>
      <color theme="0" tint="-4.9989318521683403E-2"/>
      <name val="Arial"/>
      <family val="2"/>
    </font>
    <font>
      <sz val="8"/>
      <color theme="0" tint="-4.9989318521683403E-2"/>
      <name val="Arial"/>
      <family val="2"/>
    </font>
    <font>
      <sz val="8"/>
      <color theme="0" tint="-4.9989318521683403E-2"/>
      <name val="Calibri"/>
      <family val="2"/>
      <scheme val="minor"/>
    </font>
    <font>
      <b/>
      <sz val="10"/>
      <color rgb="FFFF0000"/>
      <name val="Trebuchet MS"/>
      <family val="2"/>
    </font>
    <font>
      <u/>
      <sz val="10"/>
      <name val="Trebuchet MS"/>
      <family val="2"/>
    </font>
    <font>
      <b/>
      <vertAlign val="superscript"/>
      <sz val="10"/>
      <name val="Trebuchet MS"/>
      <family val="2"/>
    </font>
    <font>
      <b/>
      <u/>
      <sz val="12"/>
      <name val="Calibri"/>
      <family val="2"/>
      <scheme val="minor"/>
    </font>
    <font>
      <b/>
      <u/>
      <sz val="12"/>
      <color theme="0"/>
      <name val="Calibri"/>
      <family val="2"/>
      <scheme val="minor"/>
    </font>
    <font>
      <sz val="8"/>
      <color theme="1"/>
      <name val="Calibri"/>
      <family val="2"/>
      <scheme val="minor"/>
    </font>
    <font>
      <sz val="8"/>
      <name val="Trebuchet MS"/>
      <family val="2"/>
    </font>
    <font>
      <i/>
      <sz val="8"/>
      <name val="Trebuchet MS"/>
      <family val="2"/>
    </font>
    <font>
      <b/>
      <sz val="10"/>
      <color rgb="FFFF0000"/>
      <name val="Arial"/>
      <family val="2"/>
    </font>
    <font>
      <sz val="10"/>
      <color rgb="FFFF0000"/>
      <name val="Arial"/>
      <family val="2"/>
    </font>
    <font>
      <sz val="8"/>
      <name val="Arial"/>
    </font>
  </fonts>
  <fills count="28">
    <fill>
      <patternFill patternType="none"/>
    </fill>
    <fill>
      <patternFill patternType="gray125"/>
    </fill>
    <fill>
      <patternFill patternType="solid">
        <fgColor theme="0"/>
        <bgColor indexed="64"/>
      </patternFill>
    </fill>
    <fill>
      <patternFill patternType="solid">
        <fgColor rgb="FFE84242"/>
        <bgColor indexed="64"/>
      </patternFill>
    </fill>
    <fill>
      <patternFill patternType="solid">
        <fgColor rgb="FFF18F8F"/>
        <bgColor indexed="64"/>
      </patternFill>
    </fill>
    <fill>
      <patternFill patternType="solid">
        <fgColor theme="5" tint="0.59999389629810485"/>
        <bgColor indexed="64"/>
      </patternFill>
    </fill>
    <fill>
      <patternFill patternType="solid">
        <fgColor rgb="FFF8EDEC"/>
        <bgColor indexed="64"/>
      </patternFill>
    </fill>
    <fill>
      <patternFill patternType="solid">
        <fgColor rgb="FFF6B8B8"/>
        <bgColor indexed="64"/>
      </patternFill>
    </fill>
    <fill>
      <patternFill patternType="solid">
        <fgColor theme="0" tint="-0.14999847407452621"/>
        <bgColor indexed="64"/>
      </patternFill>
    </fill>
    <fill>
      <patternFill patternType="solid">
        <fgColor theme="2"/>
        <bgColor indexed="64"/>
      </patternFill>
    </fill>
    <fill>
      <patternFill patternType="solid">
        <fgColor rgb="FFFFFF00"/>
        <bgColor indexed="64"/>
      </patternFill>
    </fill>
    <fill>
      <patternFill patternType="solid">
        <fgColor rgb="FFFBE1E1"/>
        <bgColor indexed="64"/>
      </patternFill>
    </fill>
    <fill>
      <patternFill patternType="solid">
        <fgColor theme="4" tint="0.79998168889431442"/>
        <bgColor indexed="64"/>
      </patternFill>
    </fill>
    <fill>
      <patternFill patternType="solid">
        <fgColor theme="6" tint="-0.249977111117893"/>
        <bgColor indexed="64"/>
      </patternFill>
    </fill>
    <fill>
      <patternFill patternType="solid">
        <fgColor rgb="FFFF4242"/>
        <bgColor indexed="64"/>
      </patternFill>
    </fill>
    <fill>
      <patternFill patternType="solid">
        <fgColor rgb="FFFF8B8B"/>
        <bgColor indexed="64"/>
      </patternFill>
    </fill>
    <fill>
      <patternFill patternType="solid">
        <fgColor theme="2" tint="-0.249977111117893"/>
        <bgColor indexed="64"/>
      </patternFill>
    </fill>
    <fill>
      <patternFill patternType="solid">
        <fgColor theme="0" tint="-4.9989318521683403E-2"/>
        <bgColor indexed="64"/>
      </patternFill>
    </fill>
    <fill>
      <patternFill patternType="solid">
        <fgColor theme="6" tint="0.79998168889431442"/>
        <bgColor indexed="64"/>
      </patternFill>
    </fill>
    <fill>
      <patternFill patternType="solid">
        <fgColor theme="6" tint="0.39997558519241921"/>
        <bgColor indexed="64"/>
      </patternFill>
    </fill>
    <fill>
      <patternFill patternType="solid">
        <fgColor rgb="FFFFFFE1"/>
        <bgColor indexed="64"/>
      </patternFill>
    </fill>
    <fill>
      <patternFill patternType="solid">
        <fgColor theme="2" tint="-9.9978637043366805E-2"/>
        <bgColor indexed="64"/>
      </patternFill>
    </fill>
    <fill>
      <patternFill patternType="solid">
        <fgColor theme="2" tint="-0.499984740745262"/>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theme="8" tint="0.79998168889431442"/>
        <bgColor indexed="64"/>
      </patternFill>
    </fill>
    <fill>
      <patternFill patternType="solid">
        <fgColor rgb="FFFFC9C9"/>
        <bgColor indexed="64"/>
      </patternFill>
    </fill>
    <fill>
      <patternFill patternType="solid">
        <fgColor rgb="FFF1EFE7"/>
        <bgColor indexed="64"/>
      </patternFill>
    </fill>
  </fills>
  <borders count="81">
    <border>
      <left/>
      <right/>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medium">
        <color auto="1"/>
      </left>
      <right style="thin">
        <color auto="1"/>
      </right>
      <top style="medium">
        <color auto="1"/>
      </top>
      <bottom/>
      <diagonal/>
    </border>
    <border>
      <left style="medium">
        <color auto="1"/>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right/>
      <top style="thin">
        <color auto="1"/>
      </top>
      <bottom style="medium">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medium">
        <color auto="1"/>
      </left>
      <right style="thin">
        <color auto="1"/>
      </right>
      <top/>
      <bottom style="thin">
        <color auto="1"/>
      </bottom>
      <diagonal/>
    </border>
    <border>
      <left/>
      <right/>
      <top style="thin">
        <color auto="1"/>
      </top>
      <bottom/>
      <diagonal/>
    </border>
    <border>
      <left/>
      <right/>
      <top style="medium">
        <color auto="1"/>
      </top>
      <bottom/>
      <diagonal/>
    </border>
    <border>
      <left/>
      <right style="thin">
        <color auto="1"/>
      </right>
      <top style="thin">
        <color auto="1"/>
      </top>
      <bottom style="medium">
        <color auto="1"/>
      </bottom>
      <diagonal/>
    </border>
    <border>
      <left style="thin">
        <color auto="1"/>
      </left>
      <right/>
      <top style="medium">
        <color auto="1"/>
      </top>
      <bottom style="medium">
        <color auto="1"/>
      </bottom>
      <diagonal/>
    </border>
    <border>
      <left/>
      <right/>
      <top style="medium">
        <color auto="1"/>
      </top>
      <bottom style="medium">
        <color auto="1"/>
      </bottom>
      <diagonal/>
    </border>
    <border>
      <left style="medium">
        <color auto="1"/>
      </left>
      <right/>
      <top style="medium">
        <color auto="1"/>
      </top>
      <bottom style="medium">
        <color auto="1"/>
      </bottom>
      <diagonal/>
    </border>
    <border>
      <left style="medium">
        <color auto="1"/>
      </left>
      <right style="thin">
        <color auto="1"/>
      </right>
      <top/>
      <bottom style="medium">
        <color auto="1"/>
      </bottom>
      <diagonal/>
    </border>
    <border>
      <left style="thin">
        <color auto="1"/>
      </left>
      <right style="thin">
        <color auto="1"/>
      </right>
      <top style="thin">
        <color auto="1"/>
      </top>
      <bottom/>
      <diagonal/>
    </border>
    <border>
      <left style="thin">
        <color auto="1"/>
      </left>
      <right style="thin">
        <color auto="1"/>
      </right>
      <top style="medium">
        <color auto="1"/>
      </top>
      <bottom style="thin">
        <color auto="1"/>
      </bottom>
      <diagonal/>
    </border>
    <border>
      <left/>
      <right/>
      <top/>
      <bottom style="medium">
        <color auto="1"/>
      </bottom>
      <diagonal/>
    </border>
    <border>
      <left/>
      <right/>
      <top/>
      <bottom style="thin">
        <color auto="1"/>
      </bottom>
      <diagonal/>
    </border>
    <border>
      <left style="medium">
        <color auto="1"/>
      </left>
      <right/>
      <top style="medium">
        <color auto="1"/>
      </top>
      <bottom/>
      <diagonal/>
    </border>
    <border>
      <left style="medium">
        <color auto="1"/>
      </left>
      <right/>
      <top/>
      <bottom/>
      <diagonal/>
    </border>
    <border>
      <left style="medium">
        <color auto="1"/>
      </left>
      <right style="medium">
        <color auto="1"/>
      </right>
      <top/>
      <bottom style="medium">
        <color auto="1"/>
      </bottom>
      <diagonal/>
    </border>
    <border>
      <left style="medium">
        <color auto="1"/>
      </left>
      <right style="thin">
        <color auto="1"/>
      </right>
      <top style="thin">
        <color auto="1"/>
      </top>
      <bottom/>
      <diagonal/>
    </border>
    <border>
      <left/>
      <right style="thin">
        <color auto="1"/>
      </right>
      <top style="medium">
        <color auto="1"/>
      </top>
      <bottom/>
      <diagonal/>
    </border>
    <border>
      <left style="thin">
        <color auto="1"/>
      </left>
      <right style="thin">
        <color auto="1"/>
      </right>
      <top style="medium">
        <color auto="1"/>
      </top>
      <bottom/>
      <diagonal/>
    </border>
    <border>
      <left/>
      <right style="medium">
        <color auto="1"/>
      </right>
      <top style="thin">
        <color auto="1"/>
      </top>
      <bottom style="thin">
        <color auto="1"/>
      </bottom>
      <diagonal/>
    </border>
    <border>
      <left style="thin">
        <color auto="1"/>
      </left>
      <right style="medium">
        <color indexed="64"/>
      </right>
      <top style="medium">
        <color indexed="64"/>
      </top>
      <bottom style="medium">
        <color indexed="64"/>
      </bottom>
      <diagonal/>
    </border>
    <border>
      <left style="thin">
        <color auto="1"/>
      </left>
      <right style="medium">
        <color indexed="64"/>
      </right>
      <top style="thin">
        <color auto="1"/>
      </top>
      <bottom style="thin">
        <color auto="1"/>
      </bottom>
      <diagonal/>
    </border>
    <border>
      <left/>
      <right style="medium">
        <color indexed="64"/>
      </right>
      <top style="medium">
        <color indexed="64"/>
      </top>
      <bottom style="medium">
        <color indexed="64"/>
      </bottom>
      <diagonal/>
    </border>
    <border>
      <left style="thin">
        <color auto="1"/>
      </left>
      <right style="medium">
        <color indexed="64"/>
      </right>
      <top/>
      <bottom style="thin">
        <color auto="1"/>
      </bottom>
      <diagonal/>
    </border>
    <border>
      <left style="thin">
        <color auto="1"/>
      </left>
      <right style="thin">
        <color auto="1"/>
      </right>
      <top/>
      <bottom style="medium">
        <color indexed="64"/>
      </bottom>
      <diagonal/>
    </border>
    <border>
      <left/>
      <right style="medium">
        <color indexed="64"/>
      </right>
      <top/>
      <bottom style="thin">
        <color auto="1"/>
      </bottom>
      <diagonal/>
    </border>
    <border>
      <left/>
      <right style="thin">
        <color auto="1"/>
      </right>
      <top style="medium">
        <color auto="1"/>
      </top>
      <bottom style="medium">
        <color auto="1"/>
      </bottom>
      <diagonal/>
    </border>
    <border>
      <left/>
      <right style="medium">
        <color auto="1"/>
      </right>
      <top/>
      <bottom style="medium">
        <color auto="1"/>
      </bottom>
      <diagonal/>
    </border>
    <border>
      <left/>
      <right style="thin">
        <color indexed="64"/>
      </right>
      <top style="medium">
        <color auto="1"/>
      </top>
      <bottom style="thin">
        <color auto="1"/>
      </bottom>
      <diagonal/>
    </border>
    <border>
      <left/>
      <right style="thin">
        <color auto="1"/>
      </right>
      <top/>
      <bottom style="medium">
        <color auto="1"/>
      </bottom>
      <diagonal/>
    </border>
    <border>
      <left/>
      <right style="medium">
        <color indexed="64"/>
      </right>
      <top style="medium">
        <color indexed="64"/>
      </top>
      <bottom/>
      <diagonal/>
    </border>
    <border>
      <left style="medium">
        <color auto="1"/>
      </left>
      <right style="medium">
        <color auto="1"/>
      </right>
      <top/>
      <bottom style="thin">
        <color auto="1"/>
      </bottom>
      <diagonal/>
    </border>
    <border>
      <left/>
      <right style="thin">
        <color auto="1"/>
      </right>
      <top/>
      <bottom style="thin">
        <color auto="1"/>
      </bottom>
      <diagonal/>
    </border>
    <border>
      <left style="medium">
        <color auto="1"/>
      </left>
      <right style="medium">
        <color indexed="64"/>
      </right>
      <top style="medium">
        <color auto="1"/>
      </top>
      <bottom/>
      <diagonal/>
    </border>
    <border>
      <left/>
      <right style="thin">
        <color auto="1"/>
      </right>
      <top/>
      <bottom/>
      <diagonal/>
    </border>
    <border>
      <left/>
      <right style="medium">
        <color auto="1"/>
      </right>
      <top style="thin">
        <color indexed="64"/>
      </top>
      <bottom style="medium">
        <color auto="1"/>
      </bottom>
      <diagonal/>
    </border>
    <border>
      <left style="medium">
        <color auto="1"/>
      </left>
      <right/>
      <top style="thin">
        <color auto="1"/>
      </top>
      <bottom style="thin">
        <color auto="1"/>
      </bottom>
      <diagonal/>
    </border>
    <border>
      <left style="medium">
        <color auto="1"/>
      </left>
      <right style="thin">
        <color auto="1"/>
      </right>
      <top style="medium">
        <color auto="1"/>
      </top>
      <bottom style="thin">
        <color indexed="64"/>
      </bottom>
      <diagonal/>
    </border>
    <border>
      <left style="thin">
        <color auto="1"/>
      </left>
      <right style="medium">
        <color indexed="64"/>
      </right>
      <top style="thin">
        <color auto="1"/>
      </top>
      <bottom style="medium">
        <color auto="1"/>
      </bottom>
      <diagonal/>
    </border>
    <border>
      <left style="medium">
        <color indexed="64"/>
      </left>
      <right/>
      <top/>
      <bottom style="medium">
        <color auto="1"/>
      </bottom>
      <diagonal/>
    </border>
    <border>
      <left style="thin">
        <color auto="1"/>
      </left>
      <right style="medium">
        <color indexed="64"/>
      </right>
      <top style="medium">
        <color auto="1"/>
      </top>
      <bottom style="thin">
        <color auto="1"/>
      </bottom>
      <diagonal/>
    </border>
    <border>
      <left style="medium">
        <color auto="1"/>
      </left>
      <right/>
      <top style="medium">
        <color auto="1"/>
      </top>
      <bottom style="thin">
        <color auto="1"/>
      </bottom>
      <diagonal/>
    </border>
    <border>
      <left/>
      <right/>
      <top style="medium">
        <color auto="1"/>
      </top>
      <bottom style="thin">
        <color auto="1"/>
      </bottom>
      <diagonal/>
    </border>
    <border>
      <left style="thin">
        <color auto="1"/>
      </left>
      <right style="medium">
        <color indexed="64"/>
      </right>
      <top/>
      <bottom style="medium">
        <color indexed="64"/>
      </bottom>
      <diagonal/>
    </border>
    <border>
      <left style="thin">
        <color auto="1"/>
      </left>
      <right style="medium">
        <color indexed="64"/>
      </right>
      <top style="medium">
        <color indexed="64"/>
      </top>
      <bottom/>
      <diagonal/>
    </border>
    <border>
      <left style="medium">
        <color auto="1"/>
      </left>
      <right style="medium">
        <color auto="1"/>
      </right>
      <top/>
      <bottom/>
      <diagonal/>
    </border>
    <border>
      <left style="thin">
        <color auto="1"/>
      </left>
      <right style="medium">
        <color indexed="64"/>
      </right>
      <top style="thin">
        <color auto="1"/>
      </top>
      <bottom/>
      <diagonal/>
    </border>
    <border>
      <left style="thin">
        <color auto="1"/>
      </left>
      <right/>
      <top style="medium">
        <color indexed="64"/>
      </top>
      <bottom style="thin">
        <color auto="1"/>
      </bottom>
      <diagonal/>
    </border>
    <border>
      <left/>
      <right style="medium">
        <color auto="1"/>
      </right>
      <top style="medium">
        <color indexed="64"/>
      </top>
      <bottom style="thin">
        <color auto="1"/>
      </bottom>
      <diagonal/>
    </border>
    <border>
      <left style="medium">
        <color auto="1"/>
      </left>
      <right style="medium">
        <color auto="1"/>
      </right>
      <top style="medium">
        <color indexed="64"/>
      </top>
      <bottom style="thin">
        <color auto="1"/>
      </bottom>
      <diagonal/>
    </border>
    <border>
      <left style="medium">
        <color indexed="64"/>
      </left>
      <right style="medium">
        <color indexed="64"/>
      </right>
      <top style="thin">
        <color auto="1"/>
      </top>
      <bottom style="medium">
        <color indexed="64"/>
      </bottom>
      <diagonal/>
    </border>
    <border>
      <left style="thin">
        <color auto="1"/>
      </left>
      <right/>
      <top/>
      <bottom style="thin">
        <color auto="1"/>
      </bottom>
      <diagonal/>
    </border>
    <border>
      <left style="medium">
        <color auto="1"/>
      </left>
      <right/>
      <top style="thin">
        <color auto="1"/>
      </top>
      <bottom style="medium">
        <color auto="1"/>
      </bottom>
      <diagonal/>
    </border>
    <border>
      <left style="thin">
        <color auto="1"/>
      </left>
      <right/>
      <top style="thin">
        <color auto="1"/>
      </top>
      <bottom style="medium">
        <color auto="1"/>
      </bottom>
      <diagonal/>
    </border>
    <border>
      <left style="thin">
        <color auto="1"/>
      </left>
      <right/>
      <top style="medium">
        <color auto="1"/>
      </top>
      <bottom/>
      <diagonal/>
    </border>
    <border>
      <left style="thin">
        <color auto="1"/>
      </left>
      <right/>
      <top/>
      <bottom style="medium">
        <color auto="1"/>
      </bottom>
      <diagonal/>
    </border>
    <border>
      <left style="thin">
        <color auto="1"/>
      </left>
      <right style="thin">
        <color auto="1"/>
      </right>
      <top/>
      <bottom/>
      <diagonal/>
    </border>
    <border>
      <left style="medium">
        <color auto="1"/>
      </left>
      <right style="thin">
        <color auto="1"/>
      </right>
      <top/>
      <bottom/>
      <diagonal/>
    </border>
    <border>
      <left style="thin">
        <color auto="1"/>
      </left>
      <right/>
      <top style="thin">
        <color auto="1"/>
      </top>
      <bottom/>
      <diagonal/>
    </border>
    <border>
      <left/>
      <right style="medium">
        <color auto="1"/>
      </right>
      <top/>
      <bottom/>
      <diagonal/>
    </border>
    <border>
      <left style="thin">
        <color auto="1"/>
      </left>
      <right/>
      <top/>
      <bottom/>
      <diagonal/>
    </border>
    <border>
      <left/>
      <right style="thin">
        <color auto="1"/>
      </right>
      <top style="thin">
        <color auto="1"/>
      </top>
      <bottom/>
      <diagonal/>
    </border>
    <border>
      <left style="medium">
        <color auto="1"/>
      </left>
      <right style="medium">
        <color auto="1"/>
      </right>
      <top style="thin">
        <color auto="1"/>
      </top>
      <bottom style="thin">
        <color auto="1"/>
      </bottom>
      <diagonal/>
    </border>
    <border>
      <left style="medium">
        <color indexed="64"/>
      </left>
      <right/>
      <top style="thin">
        <color auto="1"/>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medium">
        <color auto="1"/>
      </left>
      <right/>
      <top/>
      <bottom style="thin">
        <color auto="1"/>
      </bottom>
      <diagonal/>
    </border>
  </borders>
  <cellStyleXfs count="21">
    <xf numFmtId="0" fontId="0" fillId="0" borderId="0"/>
    <xf numFmtId="44" fontId="4" fillId="0" borderId="0" applyFont="0" applyFill="0" applyBorder="0" applyAlignment="0" applyProtection="0"/>
    <xf numFmtId="0" fontId="4" fillId="0" borderId="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9" fontId="7" fillId="0" borderId="0" applyFont="0" applyFill="0" applyBorder="0" applyAlignment="0" applyProtection="0"/>
    <xf numFmtId="0" fontId="3" fillId="0" borderId="0"/>
    <xf numFmtId="9" fontId="3" fillId="0" borderId="0" applyFont="0" applyFill="0" applyBorder="0" applyAlignment="0" applyProtection="0"/>
    <xf numFmtId="9" fontId="4" fillId="0" borderId="0" applyFont="0" applyFill="0" applyBorder="0" applyAlignment="0" applyProtection="0"/>
    <xf numFmtId="0" fontId="12" fillId="0" borderId="0"/>
    <xf numFmtId="166" fontId="4" fillId="0" borderId="0" applyFont="0" applyFill="0" applyBorder="0" applyAlignment="0" applyProtection="0"/>
    <xf numFmtId="168" fontId="4" fillId="0" borderId="0" applyFont="0" applyFill="0" applyBorder="0" applyAlignment="0" applyProtection="0"/>
    <xf numFmtId="44" fontId="4" fillId="0" borderId="0" applyFont="0" applyFill="0" applyBorder="0" applyAlignment="0" applyProtection="0"/>
    <xf numFmtId="0" fontId="2" fillId="0" borderId="0"/>
    <xf numFmtId="164" fontId="4" fillId="0" borderId="0" applyFont="0" applyFill="0" applyBorder="0" applyAlignment="0" applyProtection="0"/>
    <xf numFmtId="44" fontId="2" fillId="0" borderId="0" applyFont="0" applyFill="0" applyBorder="0" applyAlignment="0" applyProtection="0"/>
    <xf numFmtId="164" fontId="30" fillId="0" borderId="0" applyFont="0" applyFill="0" applyBorder="0" applyAlignment="0" applyProtection="0"/>
  </cellStyleXfs>
  <cellXfs count="957">
    <xf numFmtId="0" fontId="0" fillId="0" borderId="0" xfId="0"/>
    <xf numFmtId="0" fontId="0" fillId="2" borderId="0" xfId="0" applyFill="1" applyAlignment="1">
      <alignment vertical="center"/>
    </xf>
    <xf numFmtId="0" fontId="3" fillId="2" borderId="4" xfId="10" applyFill="1" applyBorder="1" applyAlignment="1">
      <alignment vertical="center"/>
    </xf>
    <xf numFmtId="0" fontId="0" fillId="2" borderId="4" xfId="0" applyFill="1" applyBorder="1" applyAlignment="1">
      <alignment vertical="center"/>
    </xf>
    <xf numFmtId="0" fontId="4" fillId="2" borderId="4" xfId="0" applyFont="1" applyFill="1" applyBorder="1" applyAlignment="1">
      <alignment vertical="center"/>
    </xf>
    <xf numFmtId="0" fontId="0" fillId="2" borderId="0" xfId="0" applyFill="1" applyAlignment="1">
      <alignment horizontal="center" vertical="center"/>
    </xf>
    <xf numFmtId="0" fontId="4" fillId="2" borderId="4" xfId="0" applyFont="1" applyFill="1" applyBorder="1" applyAlignment="1">
      <alignment horizontal="center" vertical="center"/>
    </xf>
    <xf numFmtId="1" fontId="13" fillId="5" borderId="9" xfId="9" applyNumberFormat="1" applyFont="1" applyFill="1" applyBorder="1" applyAlignment="1" applyProtection="1">
      <alignment horizontal="center" vertical="center"/>
    </xf>
    <xf numFmtId="1" fontId="13" fillId="5" borderId="47" xfId="12" applyNumberFormat="1" applyFont="1" applyFill="1" applyBorder="1" applyAlignment="1" applyProtection="1">
      <alignment horizontal="center" vertical="center"/>
    </xf>
    <xf numFmtId="0" fontId="13" fillId="5" borderId="8" xfId="9" applyNumberFormat="1" applyFont="1" applyFill="1" applyBorder="1" applyAlignment="1" applyProtection="1">
      <alignment horizontal="center" vertical="center"/>
    </xf>
    <xf numFmtId="0" fontId="13" fillId="5" borderId="23" xfId="9" applyNumberFormat="1" applyFont="1" applyFill="1" applyBorder="1" applyAlignment="1" applyProtection="1">
      <alignment horizontal="center" vertical="center"/>
    </xf>
    <xf numFmtId="165" fontId="13" fillId="5" borderId="62" xfId="12" applyNumberFormat="1" applyFont="1" applyFill="1" applyBorder="1" applyAlignment="1" applyProtection="1">
      <alignment horizontal="center" vertical="center"/>
    </xf>
    <xf numFmtId="0" fontId="8" fillId="2" borderId="0" xfId="0" applyFont="1" applyFill="1" applyAlignment="1">
      <alignment vertical="center"/>
    </xf>
    <xf numFmtId="167" fontId="8" fillId="2" borderId="0" xfId="14" applyNumberFormat="1" applyFont="1" applyFill="1" applyAlignment="1" applyProtection="1">
      <alignment vertical="center"/>
    </xf>
    <xf numFmtId="167" fontId="8" fillId="2" borderId="0" xfId="14" applyNumberFormat="1" applyFont="1" applyFill="1" applyAlignment="1" applyProtection="1">
      <alignment horizontal="center" vertical="center"/>
    </xf>
    <xf numFmtId="0" fontId="8" fillId="6" borderId="4" xfId="15" applyNumberFormat="1" applyFont="1" applyFill="1" applyBorder="1" applyAlignment="1" applyProtection="1">
      <alignment horizontal="center" vertical="center"/>
    </xf>
    <xf numFmtId="167" fontId="8" fillId="0" borderId="0" xfId="14" applyNumberFormat="1" applyFont="1" applyAlignment="1" applyProtection="1">
      <alignment vertical="center"/>
    </xf>
    <xf numFmtId="167" fontId="8" fillId="0" borderId="0" xfId="14" applyNumberFormat="1" applyFont="1" applyAlignment="1" applyProtection="1">
      <alignment horizontal="center" vertical="center"/>
    </xf>
    <xf numFmtId="167" fontId="9" fillId="2" borderId="30" xfId="14" applyNumberFormat="1" applyFont="1" applyFill="1" applyBorder="1" applyAlignment="1" applyProtection="1">
      <alignment horizontal="center" vertical="center" wrapText="1"/>
    </xf>
    <xf numFmtId="167" fontId="9" fillId="2" borderId="12" xfId="14" applyNumberFormat="1" applyFont="1" applyFill="1" applyBorder="1" applyAlignment="1" applyProtection="1">
      <alignment horizontal="center" vertical="center" wrapText="1"/>
    </xf>
    <xf numFmtId="167" fontId="9" fillId="2" borderId="34" xfId="14" applyNumberFormat="1" applyFont="1" applyFill="1" applyBorder="1" applyAlignment="1" applyProtection="1">
      <alignment horizontal="center" vertical="center" wrapText="1"/>
    </xf>
    <xf numFmtId="167" fontId="9" fillId="2" borderId="32" xfId="14" applyNumberFormat="1" applyFont="1" applyFill="1" applyBorder="1" applyAlignment="1" applyProtection="1">
      <alignment horizontal="center" vertical="center" wrapText="1"/>
    </xf>
    <xf numFmtId="167" fontId="9" fillId="2" borderId="24" xfId="14" applyNumberFormat="1" applyFont="1" applyFill="1" applyBorder="1" applyAlignment="1" applyProtection="1">
      <alignment horizontal="center" vertical="center" wrapText="1"/>
    </xf>
    <xf numFmtId="1" fontId="9" fillId="2" borderId="49" xfId="15" applyNumberFormat="1" applyFont="1" applyFill="1" applyBorder="1" applyAlignment="1" applyProtection="1">
      <alignment horizontal="left" vertical="center"/>
    </xf>
    <xf numFmtId="173" fontId="9" fillId="0" borderId="54" xfId="16" applyNumberFormat="1" applyFont="1" applyFill="1" applyBorder="1" applyAlignment="1" applyProtection="1">
      <alignment vertical="center" wrapText="1"/>
    </xf>
    <xf numFmtId="173" fontId="9" fillId="0" borderId="60" xfId="16" applyNumberFormat="1" applyFont="1" applyFill="1" applyBorder="1" applyAlignment="1" applyProtection="1">
      <alignment vertical="center" wrapText="1"/>
    </xf>
    <xf numFmtId="173" fontId="9" fillId="0" borderId="53" xfId="16" applyNumberFormat="1" applyFont="1" applyFill="1" applyBorder="1" applyAlignment="1" applyProtection="1">
      <alignment vertical="center" wrapText="1"/>
    </xf>
    <xf numFmtId="1" fontId="8" fillId="2" borderId="13" xfId="15" applyNumberFormat="1" applyFont="1" applyFill="1" applyBorder="1" applyAlignment="1" applyProtection="1">
      <alignment horizontal="left" vertical="center"/>
    </xf>
    <xf numFmtId="173" fontId="9" fillId="0" borderId="25" xfId="16" applyNumberFormat="1" applyFont="1" applyFill="1" applyBorder="1" applyAlignment="1" applyProtection="1">
      <alignment vertical="center" wrapText="1"/>
    </xf>
    <xf numFmtId="173" fontId="9" fillId="0" borderId="15" xfId="16" applyNumberFormat="1" applyFont="1" applyFill="1" applyBorder="1" applyAlignment="1" applyProtection="1">
      <alignment vertical="center" wrapText="1"/>
    </xf>
    <xf numFmtId="173" fontId="9" fillId="0" borderId="42" xfId="16" applyNumberFormat="1" applyFont="1" applyFill="1" applyBorder="1" applyAlignment="1" applyProtection="1">
      <alignment vertical="center" wrapText="1"/>
    </xf>
    <xf numFmtId="170" fontId="8" fillId="2" borderId="60" xfId="0" applyNumberFormat="1" applyFont="1" applyFill="1" applyBorder="1" applyAlignment="1">
      <alignment horizontal="center" vertical="center"/>
    </xf>
    <xf numFmtId="170" fontId="8" fillId="2" borderId="37" xfId="0" applyNumberFormat="1" applyFont="1" applyFill="1" applyBorder="1" applyAlignment="1">
      <alignment horizontal="center" vertical="center"/>
    </xf>
    <xf numFmtId="0" fontId="8" fillId="2" borderId="0" xfId="16" applyNumberFormat="1" applyFont="1" applyFill="1" applyBorder="1" applyAlignment="1" applyProtection="1">
      <alignment horizontal="center" vertical="center"/>
    </xf>
    <xf numFmtId="167" fontId="9" fillId="2" borderId="25" xfId="14" applyNumberFormat="1" applyFont="1" applyFill="1" applyBorder="1" applyAlignment="1" applyProtection="1">
      <alignment horizontal="center" vertical="center" wrapText="1"/>
    </xf>
    <xf numFmtId="167" fontId="9" fillId="2" borderId="0" xfId="14" applyNumberFormat="1" applyFont="1" applyFill="1" applyBorder="1" applyAlignment="1" applyProtection="1">
      <alignment horizontal="center" vertical="center" wrapText="1"/>
    </xf>
    <xf numFmtId="173" fontId="9" fillId="2" borderId="0" xfId="16" applyNumberFormat="1" applyFont="1" applyFill="1" applyBorder="1" applyAlignment="1" applyProtection="1">
      <alignment horizontal="center" vertical="center" wrapText="1"/>
    </xf>
    <xf numFmtId="9" fontId="9" fillId="2" borderId="3" xfId="12" applyFont="1" applyFill="1" applyBorder="1" applyAlignment="1" applyProtection="1">
      <alignment horizontal="center" vertical="center"/>
    </xf>
    <xf numFmtId="9" fontId="8" fillId="0" borderId="0" xfId="12" applyFont="1" applyFill="1" applyBorder="1" applyAlignment="1" applyProtection="1">
      <alignment horizontal="center" vertical="center"/>
    </xf>
    <xf numFmtId="167" fontId="8" fillId="0" borderId="18" xfId="14" applyNumberFormat="1" applyFont="1" applyBorder="1" applyAlignment="1" applyProtection="1">
      <alignment vertical="center"/>
    </xf>
    <xf numFmtId="167" fontId="8" fillId="0" borderId="34" xfId="14" applyNumberFormat="1" applyFont="1" applyBorder="1" applyAlignment="1" applyProtection="1">
      <alignment vertical="center"/>
    </xf>
    <xf numFmtId="167" fontId="8" fillId="0" borderId="0" xfId="14" applyNumberFormat="1" applyFont="1" applyBorder="1" applyAlignment="1" applyProtection="1">
      <alignment vertical="center"/>
    </xf>
    <xf numFmtId="167" fontId="9" fillId="2" borderId="38" xfId="14" applyNumberFormat="1" applyFont="1" applyFill="1" applyBorder="1" applyAlignment="1" applyProtection="1">
      <alignment horizontal="center" vertical="center" wrapText="1"/>
    </xf>
    <xf numFmtId="167" fontId="9" fillId="2" borderId="29" xfId="14" applyNumberFormat="1" applyFont="1" applyFill="1" applyBorder="1" applyAlignment="1" applyProtection="1">
      <alignment horizontal="center" vertical="center" wrapText="1"/>
    </xf>
    <xf numFmtId="167" fontId="9" fillId="2" borderId="15" xfId="14" applyNumberFormat="1" applyFont="1" applyFill="1" applyBorder="1" applyAlignment="1" applyProtection="1">
      <alignment horizontal="center" vertical="center" wrapText="1"/>
    </xf>
    <xf numFmtId="167" fontId="9" fillId="2" borderId="56" xfId="14" applyNumberFormat="1" applyFont="1" applyFill="1" applyBorder="1" applyAlignment="1" applyProtection="1">
      <alignment horizontal="center" vertical="center" wrapText="1"/>
    </xf>
    <xf numFmtId="9" fontId="13" fillId="2" borderId="0" xfId="9" applyFont="1" applyFill="1" applyAlignment="1" applyProtection="1">
      <alignment vertical="center"/>
    </xf>
    <xf numFmtId="0" fontId="9" fillId="2" borderId="1" xfId="0" applyFont="1" applyFill="1" applyBorder="1" applyAlignment="1">
      <alignment horizontal="left" vertical="center"/>
    </xf>
    <xf numFmtId="0" fontId="9" fillId="2" borderId="1" xfId="0" applyFont="1" applyFill="1" applyBorder="1" applyAlignment="1">
      <alignment horizontal="right" vertical="center"/>
    </xf>
    <xf numFmtId="0" fontId="8" fillId="2" borderId="1" xfId="0" applyFont="1" applyFill="1" applyBorder="1" applyAlignment="1">
      <alignment vertical="center"/>
    </xf>
    <xf numFmtId="0" fontId="9" fillId="2" borderId="23" xfId="0" applyFont="1" applyFill="1" applyBorder="1" applyAlignment="1">
      <alignment horizontal="left" vertical="center"/>
    </xf>
    <xf numFmtId="0" fontId="9" fillId="2" borderId="23" xfId="0" applyFont="1" applyFill="1" applyBorder="1" applyAlignment="1">
      <alignment horizontal="right" vertical="center"/>
    </xf>
    <xf numFmtId="0" fontId="8" fillId="2" borderId="23" xfId="0" applyFont="1" applyFill="1" applyBorder="1" applyAlignment="1">
      <alignment vertical="center"/>
    </xf>
    <xf numFmtId="0" fontId="8" fillId="2" borderId="1" xfId="0" applyFont="1" applyFill="1" applyBorder="1" applyAlignment="1">
      <alignment horizontal="left" vertical="center"/>
    </xf>
    <xf numFmtId="0" fontId="8" fillId="2" borderId="23" xfId="0" applyFont="1" applyFill="1" applyBorder="1" applyAlignment="1">
      <alignment horizontal="left" vertical="center"/>
    </xf>
    <xf numFmtId="1" fontId="8" fillId="2" borderId="31" xfId="0" applyNumberFormat="1" applyFont="1" applyFill="1" applyBorder="1" applyAlignment="1">
      <alignment horizontal="center" vertical="center"/>
    </xf>
    <xf numFmtId="1" fontId="8" fillId="2" borderId="39" xfId="0" applyNumberFormat="1" applyFont="1" applyFill="1" applyBorder="1" applyAlignment="1">
      <alignment horizontal="center" vertical="center"/>
    </xf>
    <xf numFmtId="0" fontId="13" fillId="2" borderId="4" xfId="0" applyFont="1" applyFill="1" applyBorder="1" applyAlignment="1">
      <alignment vertical="center"/>
    </xf>
    <xf numFmtId="0" fontId="13" fillId="2" borderId="5" xfId="0" applyFont="1" applyFill="1" applyBorder="1" applyAlignment="1">
      <alignment vertical="center"/>
    </xf>
    <xf numFmtId="0" fontId="13" fillId="2" borderId="13" xfId="0" applyFont="1" applyFill="1" applyBorder="1" applyAlignment="1">
      <alignment vertical="center"/>
    </xf>
    <xf numFmtId="0" fontId="13" fillId="2" borderId="7" xfId="0" applyFont="1" applyFill="1" applyBorder="1" applyAlignment="1">
      <alignment vertical="center"/>
    </xf>
    <xf numFmtId="0" fontId="13" fillId="2" borderId="63" xfId="0" applyFont="1" applyFill="1" applyBorder="1" applyAlignment="1">
      <alignment vertical="center"/>
    </xf>
    <xf numFmtId="0" fontId="13" fillId="2" borderId="3" xfId="0" applyFont="1" applyFill="1" applyBorder="1" applyAlignment="1">
      <alignment vertical="center"/>
    </xf>
    <xf numFmtId="0" fontId="0" fillId="0" borderId="4" xfId="0" applyBorder="1" applyAlignment="1">
      <alignment vertical="center"/>
    </xf>
    <xf numFmtId="0" fontId="0" fillId="9" borderId="13" xfId="0" applyFill="1" applyBorder="1" applyAlignment="1">
      <alignment vertical="center"/>
    </xf>
    <xf numFmtId="0" fontId="0" fillId="9" borderId="5" xfId="0" applyFill="1" applyBorder="1" applyAlignment="1">
      <alignment vertical="center"/>
    </xf>
    <xf numFmtId="0" fontId="0" fillId="9" borderId="63" xfId="0" applyFill="1" applyBorder="1" applyAlignment="1">
      <alignment vertical="center"/>
    </xf>
    <xf numFmtId="0" fontId="0" fillId="0" borderId="3" xfId="0" applyBorder="1" applyAlignment="1">
      <alignment vertical="center"/>
    </xf>
    <xf numFmtId="0" fontId="0" fillId="9" borderId="7" xfId="0" applyFill="1" applyBorder="1" applyAlignment="1">
      <alignment vertical="center"/>
    </xf>
    <xf numFmtId="0" fontId="0" fillId="9" borderId="4" xfId="0" applyFill="1" applyBorder="1" applyAlignment="1">
      <alignment vertical="center"/>
    </xf>
    <xf numFmtId="0" fontId="0" fillId="9" borderId="3" xfId="0" applyFill="1" applyBorder="1" applyAlignment="1">
      <alignment vertical="center"/>
    </xf>
    <xf numFmtId="0" fontId="26" fillId="0" borderId="28" xfId="0" applyFont="1" applyBorder="1" applyAlignment="1">
      <alignment vertical="center"/>
    </xf>
    <xf numFmtId="0" fontId="26" fillId="0" borderId="21" xfId="0" applyFont="1" applyBorder="1" applyAlignment="1">
      <alignment vertical="center"/>
    </xf>
    <xf numFmtId="0" fontId="26" fillId="0" borderId="70" xfId="0" applyFont="1" applyBorder="1" applyAlignment="1">
      <alignment vertical="center"/>
    </xf>
    <xf numFmtId="0" fontId="26" fillId="0" borderId="11" xfId="0" applyFont="1" applyBorder="1" applyAlignment="1">
      <alignment vertical="center"/>
    </xf>
    <xf numFmtId="0" fontId="26" fillId="0" borderId="12" xfId="0" applyFont="1" applyBorder="1" applyAlignment="1">
      <alignment vertical="center"/>
    </xf>
    <xf numFmtId="0" fontId="26" fillId="0" borderId="17" xfId="0" applyFont="1" applyBorder="1" applyAlignment="1">
      <alignment vertical="center"/>
    </xf>
    <xf numFmtId="0" fontId="8" fillId="2" borderId="18" xfId="0" applyFont="1" applyFill="1" applyBorder="1" applyAlignment="1">
      <alignment horizontal="left" vertical="center"/>
    </xf>
    <xf numFmtId="0" fontId="9" fillId="2" borderId="18" xfId="0" applyFont="1" applyFill="1" applyBorder="1" applyAlignment="1">
      <alignment horizontal="right" vertical="center"/>
    </xf>
    <xf numFmtId="0" fontId="9" fillId="2" borderId="18" xfId="0" applyFont="1" applyFill="1" applyBorder="1" applyAlignment="1">
      <alignment horizontal="left" vertical="center"/>
    </xf>
    <xf numFmtId="0" fontId="8" fillId="2" borderId="18" xfId="0" applyFont="1" applyFill="1" applyBorder="1" applyAlignment="1">
      <alignment vertical="center"/>
    </xf>
    <xf numFmtId="1" fontId="8" fillId="2" borderId="34" xfId="0" applyNumberFormat="1" applyFont="1" applyFill="1" applyBorder="1" applyAlignment="1">
      <alignment horizontal="center" vertical="center"/>
    </xf>
    <xf numFmtId="1" fontId="8" fillId="2" borderId="12" xfId="0" applyNumberFormat="1" applyFont="1" applyFill="1" applyBorder="1" applyAlignment="1">
      <alignment horizontal="center" vertical="center"/>
    </xf>
    <xf numFmtId="1" fontId="8" fillId="2" borderId="2" xfId="0" applyNumberFormat="1" applyFont="1" applyFill="1" applyBorder="1" applyAlignment="1">
      <alignment horizontal="center" vertical="center"/>
    </xf>
    <xf numFmtId="1" fontId="8" fillId="2" borderId="41" xfId="0" applyNumberFormat="1" applyFont="1" applyFill="1" applyBorder="1" applyAlignment="1">
      <alignment horizontal="center" vertical="center"/>
    </xf>
    <xf numFmtId="1" fontId="8" fillId="2" borderId="38" xfId="0" applyNumberFormat="1" applyFont="1" applyFill="1" applyBorder="1" applyAlignment="1">
      <alignment horizontal="center" vertical="center"/>
    </xf>
    <xf numFmtId="0" fontId="9" fillId="2" borderId="31" xfId="0" applyFont="1" applyFill="1" applyBorder="1" applyAlignment="1">
      <alignment horizontal="center" vertical="center"/>
    </xf>
    <xf numFmtId="0" fontId="9" fillId="2" borderId="39" xfId="0" applyFont="1" applyFill="1" applyBorder="1" applyAlignment="1">
      <alignment horizontal="center" vertical="center"/>
    </xf>
    <xf numFmtId="0" fontId="9" fillId="2" borderId="34" xfId="0" applyFont="1" applyFill="1" applyBorder="1" applyAlignment="1">
      <alignment horizontal="center" vertical="center"/>
    </xf>
    <xf numFmtId="0" fontId="0" fillId="2" borderId="39" xfId="0" applyFill="1" applyBorder="1" applyAlignment="1">
      <alignment vertical="center"/>
    </xf>
    <xf numFmtId="0" fontId="4" fillId="2" borderId="38" xfId="0" applyFont="1" applyFill="1" applyBorder="1" applyAlignment="1">
      <alignment horizontal="center" vertical="center"/>
    </xf>
    <xf numFmtId="0" fontId="4" fillId="2" borderId="12" xfId="0" applyFont="1" applyFill="1" applyBorder="1" applyAlignment="1">
      <alignment horizontal="center" vertical="center"/>
    </xf>
    <xf numFmtId="0" fontId="4" fillId="2" borderId="17" xfId="0" applyFont="1" applyFill="1" applyBorder="1" applyAlignment="1">
      <alignment horizontal="center" vertical="center"/>
    </xf>
    <xf numFmtId="0" fontId="0" fillId="2" borderId="26" xfId="0" applyFill="1" applyBorder="1" applyAlignment="1">
      <alignment vertical="center"/>
    </xf>
    <xf numFmtId="0" fontId="0" fillId="2" borderId="18" xfId="0" applyFill="1" applyBorder="1" applyAlignment="1">
      <alignment vertical="center"/>
    </xf>
    <xf numFmtId="0" fontId="8" fillId="2" borderId="3" xfId="0" applyFont="1" applyFill="1" applyBorder="1" applyAlignment="1">
      <alignment vertical="center"/>
    </xf>
    <xf numFmtId="0" fontId="0" fillId="2" borderId="23" xfId="0" applyFill="1" applyBorder="1" applyAlignment="1">
      <alignment vertical="center"/>
    </xf>
    <xf numFmtId="0" fontId="8" fillId="2" borderId="63" xfId="0" applyFont="1" applyFill="1" applyBorder="1" applyAlignment="1">
      <alignment vertical="center" wrapText="1"/>
    </xf>
    <xf numFmtId="0" fontId="8" fillId="2" borderId="3" xfId="0" applyFont="1" applyFill="1" applyBorder="1" applyAlignment="1">
      <alignment vertical="center" wrapText="1"/>
    </xf>
    <xf numFmtId="0" fontId="9" fillId="2" borderId="64" xfId="0" applyFont="1" applyFill="1" applyBorder="1" applyAlignment="1">
      <alignment vertical="center"/>
    </xf>
    <xf numFmtId="0" fontId="9" fillId="2" borderId="10" xfId="0" applyFont="1" applyFill="1" applyBorder="1" applyAlignment="1">
      <alignment vertical="center"/>
    </xf>
    <xf numFmtId="0" fontId="9" fillId="2" borderId="66" xfId="0" applyFont="1" applyFill="1" applyBorder="1" applyAlignment="1">
      <alignment vertical="center"/>
    </xf>
    <xf numFmtId="0" fontId="8" fillId="2" borderId="3" xfId="0" applyFont="1" applyFill="1" applyBorder="1" applyAlignment="1">
      <alignment horizontal="left" vertical="center"/>
    </xf>
    <xf numFmtId="0" fontId="8" fillId="2" borderId="3" xfId="0" applyFont="1" applyFill="1" applyBorder="1" applyAlignment="1">
      <alignment horizontal="left" vertical="center" wrapText="1"/>
    </xf>
    <xf numFmtId="0" fontId="26" fillId="2" borderId="19" xfId="0" applyFont="1" applyFill="1" applyBorder="1" applyAlignment="1">
      <alignment vertical="center"/>
    </xf>
    <xf numFmtId="0" fontId="26" fillId="2" borderId="18" xfId="0" applyFont="1" applyFill="1" applyBorder="1" applyAlignment="1">
      <alignment vertical="center"/>
    </xf>
    <xf numFmtId="0" fontId="8" fillId="2" borderId="4" xfId="0" applyFont="1" applyFill="1" applyBorder="1" applyAlignment="1">
      <alignment horizontal="center" vertical="center"/>
    </xf>
    <xf numFmtId="0" fontId="4" fillId="2" borderId="11" xfId="0" applyFont="1" applyFill="1" applyBorder="1" applyAlignment="1">
      <alignment horizontal="center" vertical="center"/>
    </xf>
    <xf numFmtId="0" fontId="4" fillId="2" borderId="32" xfId="0" applyFont="1" applyFill="1" applyBorder="1" applyAlignment="1">
      <alignment horizontal="center" vertical="center"/>
    </xf>
    <xf numFmtId="0" fontId="0" fillId="2" borderId="7" xfId="0" applyFill="1" applyBorder="1" applyAlignment="1">
      <alignment vertical="center"/>
    </xf>
    <xf numFmtId="0" fontId="26" fillId="2" borderId="8" xfId="0" applyFont="1" applyFill="1" applyBorder="1" applyAlignment="1">
      <alignment vertical="center"/>
    </xf>
    <xf numFmtId="0" fontId="26" fillId="2" borderId="9" xfId="0" applyFont="1" applyFill="1" applyBorder="1" applyAlignment="1">
      <alignment vertical="center"/>
    </xf>
    <xf numFmtId="0" fontId="26" fillId="2" borderId="65" xfId="0" applyFont="1" applyFill="1" applyBorder="1" applyAlignment="1">
      <alignment vertical="center"/>
    </xf>
    <xf numFmtId="0" fontId="0" fillId="2" borderId="3" xfId="0" applyFill="1" applyBorder="1" applyAlignment="1">
      <alignment vertical="center"/>
    </xf>
    <xf numFmtId="1" fontId="0" fillId="2" borderId="7" xfId="0" applyNumberFormat="1" applyFill="1" applyBorder="1" applyAlignment="1">
      <alignment vertical="center"/>
    </xf>
    <xf numFmtId="1" fontId="0" fillId="2" borderId="4" xfId="0" applyNumberFormat="1" applyFill="1" applyBorder="1" applyAlignment="1">
      <alignment vertical="center"/>
    </xf>
    <xf numFmtId="1" fontId="26" fillId="2" borderId="8" xfId="0" applyNumberFormat="1" applyFont="1" applyFill="1" applyBorder="1" applyAlignment="1">
      <alignment vertical="center"/>
    </xf>
    <xf numFmtId="1" fontId="26" fillId="2" borderId="9" xfId="0" applyNumberFormat="1" applyFont="1" applyFill="1" applyBorder="1" applyAlignment="1">
      <alignment vertical="center"/>
    </xf>
    <xf numFmtId="1" fontId="0" fillId="9" borderId="13" xfId="0" applyNumberFormat="1" applyFill="1" applyBorder="1" applyAlignment="1">
      <alignment vertical="center"/>
    </xf>
    <xf numFmtId="1" fontId="0" fillId="9" borderId="5" xfId="0" applyNumberFormat="1" applyFill="1" applyBorder="1" applyAlignment="1">
      <alignment vertical="center"/>
    </xf>
    <xf numFmtId="1" fontId="0" fillId="0" borderId="7" xfId="0" applyNumberFormat="1" applyBorder="1" applyAlignment="1">
      <alignment vertical="center"/>
    </xf>
    <xf numFmtId="1" fontId="0" fillId="0" borderId="4" xfId="0" applyNumberFormat="1" applyBorder="1" applyAlignment="1">
      <alignment vertical="center"/>
    </xf>
    <xf numFmtId="1" fontId="26" fillId="0" borderId="28" xfId="0" applyNumberFormat="1" applyFont="1" applyBorder="1" applyAlignment="1">
      <alignment vertical="center"/>
    </xf>
    <xf numFmtId="1" fontId="26" fillId="0" borderId="21" xfId="0" applyNumberFormat="1" applyFont="1" applyBorder="1" applyAlignment="1">
      <alignment vertical="center"/>
    </xf>
    <xf numFmtId="1" fontId="26" fillId="0" borderId="11" xfId="0" applyNumberFormat="1" applyFont="1" applyBorder="1" applyAlignment="1">
      <alignment vertical="center"/>
    </xf>
    <xf numFmtId="1" fontId="26" fillId="0" borderId="12" xfId="0" applyNumberFormat="1" applyFont="1" applyBorder="1" applyAlignment="1">
      <alignment vertical="center"/>
    </xf>
    <xf numFmtId="1" fontId="0" fillId="2" borderId="33" xfId="0" applyNumberFormat="1" applyFill="1" applyBorder="1" applyAlignment="1">
      <alignment vertical="center"/>
    </xf>
    <xf numFmtId="1" fontId="0" fillId="0" borderId="33" xfId="0" applyNumberFormat="1" applyBorder="1" applyAlignment="1">
      <alignment vertical="center"/>
    </xf>
    <xf numFmtId="1" fontId="26" fillId="2" borderId="21" xfId="0" applyNumberFormat="1" applyFont="1" applyFill="1" applyBorder="1" applyAlignment="1">
      <alignment vertical="center"/>
    </xf>
    <xf numFmtId="1" fontId="26" fillId="2" borderId="58" xfId="0" applyNumberFormat="1" applyFont="1" applyFill="1" applyBorder="1" applyAlignment="1">
      <alignment vertical="center"/>
    </xf>
    <xf numFmtId="1" fontId="26" fillId="0" borderId="58" xfId="0" applyNumberFormat="1" applyFont="1" applyBorder="1" applyAlignment="1">
      <alignment vertical="center"/>
    </xf>
    <xf numFmtId="1" fontId="0" fillId="9" borderId="35" xfId="0" applyNumberFormat="1" applyFill="1" applyBorder="1" applyAlignment="1">
      <alignment vertical="center"/>
    </xf>
    <xf numFmtId="1" fontId="0" fillId="9" borderId="22" xfId="0" applyNumberFormat="1" applyFill="1" applyBorder="1" applyAlignment="1">
      <alignment vertical="center"/>
    </xf>
    <xf numFmtId="1" fontId="0" fillId="9" borderId="52" xfId="0" applyNumberFormat="1" applyFill="1" applyBorder="1" applyAlignment="1">
      <alignment vertical="center"/>
    </xf>
    <xf numFmtId="1" fontId="26" fillId="2" borderId="50" xfId="0" applyNumberFormat="1" applyFont="1" applyFill="1" applyBorder="1" applyAlignment="1">
      <alignment vertical="center"/>
    </xf>
    <xf numFmtId="1" fontId="26" fillId="0" borderId="32" xfId="0" applyNumberFormat="1" applyFont="1" applyBorder="1" applyAlignment="1">
      <alignment vertical="center"/>
    </xf>
    <xf numFmtId="1" fontId="0" fillId="2" borderId="49" xfId="0" applyNumberFormat="1" applyFill="1" applyBorder="1" applyAlignment="1">
      <alignment vertical="center"/>
    </xf>
    <xf numFmtId="1" fontId="0" fillId="2" borderId="22" xfId="0" applyNumberFormat="1" applyFill="1" applyBorder="1" applyAlignment="1">
      <alignment vertical="center"/>
    </xf>
    <xf numFmtId="1" fontId="0" fillId="2" borderId="52" xfId="0" applyNumberFormat="1" applyFill="1" applyBorder="1" applyAlignment="1">
      <alignment vertical="center"/>
    </xf>
    <xf numFmtId="1" fontId="26" fillId="2" borderId="28" xfId="0" applyNumberFormat="1" applyFont="1" applyFill="1" applyBorder="1" applyAlignment="1">
      <alignment vertical="center"/>
    </xf>
    <xf numFmtId="1" fontId="0" fillId="9" borderId="49" xfId="0" applyNumberFormat="1" applyFill="1" applyBorder="1" applyAlignment="1">
      <alignment vertical="center"/>
    </xf>
    <xf numFmtId="0" fontId="0" fillId="2" borderId="71" xfId="0" applyFill="1" applyBorder="1" applyAlignment="1">
      <alignment vertical="center"/>
    </xf>
    <xf numFmtId="0" fontId="9" fillId="2" borderId="24" xfId="0" applyFont="1" applyFill="1" applyBorder="1" applyAlignment="1">
      <alignment horizontal="right" vertical="center"/>
    </xf>
    <xf numFmtId="0" fontId="9" fillId="2" borderId="24" xfId="0" applyFont="1" applyFill="1" applyBorder="1" applyAlignment="1">
      <alignment horizontal="left" vertical="center"/>
    </xf>
    <xf numFmtId="0" fontId="8" fillId="2" borderId="24" xfId="0" applyFont="1" applyFill="1" applyBorder="1" applyAlignment="1">
      <alignment vertical="center"/>
    </xf>
    <xf numFmtId="0" fontId="9" fillId="2" borderId="37" xfId="0" applyFont="1" applyFill="1" applyBorder="1" applyAlignment="1">
      <alignment horizontal="center" vertical="center"/>
    </xf>
    <xf numFmtId="170" fontId="8" fillId="2" borderId="44" xfId="0" applyNumberFormat="1" applyFont="1" applyFill="1" applyBorder="1" applyAlignment="1">
      <alignment horizontal="center" vertical="center"/>
    </xf>
    <xf numFmtId="0" fontId="8" fillId="2" borderId="0" xfId="0" applyFont="1" applyFill="1" applyAlignment="1">
      <alignment horizontal="left" vertical="center"/>
    </xf>
    <xf numFmtId="0" fontId="4" fillId="2" borderId="18" xfId="0" applyFont="1" applyFill="1" applyBorder="1" applyAlignment="1">
      <alignment vertical="center"/>
    </xf>
    <xf numFmtId="170" fontId="8" fillId="2" borderId="49" xfId="0" applyNumberFormat="1" applyFont="1" applyFill="1" applyBorder="1" applyAlignment="1">
      <alignment horizontal="center" vertical="center"/>
    </xf>
    <xf numFmtId="170" fontId="8" fillId="2" borderId="40" xfId="0" applyNumberFormat="1" applyFont="1" applyFill="1" applyBorder="1" applyAlignment="1">
      <alignment horizontal="center" vertical="center"/>
    </xf>
    <xf numFmtId="170" fontId="8" fillId="2" borderId="13" xfId="0" applyNumberFormat="1" applyFont="1" applyFill="1" applyBorder="1" applyAlignment="1">
      <alignment horizontal="center" vertical="center"/>
    </xf>
    <xf numFmtId="1" fontId="8" fillId="2" borderId="7" xfId="0" applyNumberFormat="1" applyFont="1" applyFill="1" applyBorder="1" applyAlignment="1">
      <alignment horizontal="center" vertical="center"/>
    </xf>
    <xf numFmtId="1" fontId="8" fillId="2" borderId="20" xfId="0" applyNumberFormat="1" applyFont="1" applyFill="1" applyBorder="1" applyAlignment="1">
      <alignment horizontal="center" vertical="center"/>
    </xf>
    <xf numFmtId="0" fontId="27" fillId="0" borderId="4" xfId="0" applyFont="1" applyBorder="1" applyAlignment="1">
      <alignment vertical="center"/>
    </xf>
    <xf numFmtId="9" fontId="0" fillId="2" borderId="4" xfId="12" applyFont="1" applyFill="1" applyBorder="1" applyAlignment="1">
      <alignment vertical="center"/>
    </xf>
    <xf numFmtId="169" fontId="0" fillId="2" borderId="4" xfId="0" applyNumberFormat="1" applyFill="1" applyBorder="1" applyAlignment="1">
      <alignment vertical="center"/>
    </xf>
    <xf numFmtId="0" fontId="26" fillId="2" borderId="4" xfId="0" applyFont="1" applyFill="1" applyBorder="1" applyAlignment="1">
      <alignment vertical="center"/>
    </xf>
    <xf numFmtId="169" fontId="26" fillId="2" borderId="4" xfId="0" applyNumberFormat="1" applyFont="1" applyFill="1" applyBorder="1" applyAlignment="1">
      <alignment vertical="center"/>
    </xf>
    <xf numFmtId="9" fontId="0" fillId="2" borderId="0" xfId="9" applyFont="1" applyFill="1" applyAlignment="1">
      <alignment vertical="center"/>
    </xf>
    <xf numFmtId="1" fontId="0" fillId="2" borderId="4" xfId="0" applyNumberFormat="1" applyFill="1" applyBorder="1" applyAlignment="1">
      <alignment horizontal="center" vertical="center"/>
    </xf>
    <xf numFmtId="0" fontId="0" fillId="10" borderId="4" xfId="0" applyFill="1" applyBorder="1" applyAlignment="1">
      <alignment vertical="center"/>
    </xf>
    <xf numFmtId="0" fontId="8" fillId="0" borderId="5" xfId="15" applyNumberFormat="1" applyFont="1" applyFill="1" applyBorder="1" applyAlignment="1" applyProtection="1">
      <alignment horizontal="center" vertical="center"/>
    </xf>
    <xf numFmtId="0" fontId="4" fillId="2" borderId="4" xfId="0" applyFont="1" applyFill="1" applyBorder="1" applyAlignment="1">
      <alignment vertical="center" wrapText="1"/>
    </xf>
    <xf numFmtId="0" fontId="28" fillId="3" borderId="4" xfId="0" applyFont="1" applyFill="1" applyBorder="1" applyAlignment="1">
      <alignment vertical="center"/>
    </xf>
    <xf numFmtId="169" fontId="28" fillId="3" borderId="4" xfId="0" applyNumberFormat="1" applyFont="1" applyFill="1" applyBorder="1" applyAlignment="1">
      <alignment vertical="center"/>
    </xf>
    <xf numFmtId="0" fontId="4" fillId="11" borderId="4" xfId="0" applyFont="1" applyFill="1" applyBorder="1" applyAlignment="1">
      <alignment vertical="center"/>
    </xf>
    <xf numFmtId="169" fontId="0" fillId="11" borderId="4" xfId="0" applyNumberFormat="1" applyFill="1" applyBorder="1" applyAlignment="1">
      <alignment vertical="center"/>
    </xf>
    <xf numFmtId="169" fontId="8" fillId="0" borderId="4" xfId="0" applyNumberFormat="1" applyFont="1" applyBorder="1" applyAlignment="1" applyProtection="1">
      <alignment horizontal="center" vertical="center"/>
      <protection locked="0"/>
    </xf>
    <xf numFmtId="0" fontId="8" fillId="12" borderId="0" xfId="15" applyNumberFormat="1" applyFont="1" applyFill="1" applyBorder="1" applyAlignment="1" applyProtection="1">
      <alignment horizontal="left" vertical="center"/>
    </xf>
    <xf numFmtId="175" fontId="0" fillId="2" borderId="4" xfId="20" applyNumberFormat="1" applyFont="1" applyFill="1" applyBorder="1" applyAlignment="1">
      <alignment vertical="center"/>
    </xf>
    <xf numFmtId="175" fontId="0" fillId="0" borderId="4" xfId="20" applyNumberFormat="1" applyFont="1" applyFill="1" applyBorder="1" applyAlignment="1">
      <alignment vertical="center"/>
    </xf>
    <xf numFmtId="0" fontId="31" fillId="2" borderId="4" xfId="0" applyFont="1" applyFill="1" applyBorder="1" applyAlignment="1">
      <alignment vertical="center"/>
    </xf>
    <xf numFmtId="0" fontId="31" fillId="0" borderId="4" xfId="0" applyFont="1" applyBorder="1" applyAlignment="1">
      <alignment vertical="center"/>
    </xf>
    <xf numFmtId="176" fontId="0" fillId="0" borderId="4" xfId="20" applyNumberFormat="1" applyFont="1" applyFill="1" applyBorder="1" applyAlignment="1">
      <alignment vertical="center"/>
    </xf>
    <xf numFmtId="176" fontId="0" fillId="0" borderId="2" xfId="20" applyNumberFormat="1" applyFont="1" applyFill="1" applyBorder="1" applyAlignment="1">
      <alignment vertical="center"/>
    </xf>
    <xf numFmtId="165" fontId="13" fillId="0" borderId="61" xfId="12" applyNumberFormat="1" applyFont="1" applyFill="1" applyBorder="1" applyAlignment="1" applyProtection="1">
      <alignment horizontal="center" vertical="center"/>
    </xf>
    <xf numFmtId="165" fontId="13" fillId="0" borderId="43" xfId="12" applyNumberFormat="1" applyFont="1" applyFill="1" applyBorder="1" applyAlignment="1" applyProtection="1">
      <alignment horizontal="center" vertical="center"/>
    </xf>
    <xf numFmtId="0" fontId="8" fillId="0" borderId="0" xfId="15" applyNumberFormat="1" applyFont="1" applyFill="1" applyBorder="1" applyAlignment="1" applyProtection="1">
      <alignment horizontal="left" vertical="center"/>
    </xf>
    <xf numFmtId="173" fontId="9" fillId="0" borderId="22" xfId="16" applyNumberFormat="1" applyFont="1" applyFill="1" applyBorder="1" applyAlignment="1" applyProtection="1">
      <alignment vertical="center" wrapText="1"/>
    </xf>
    <xf numFmtId="1" fontId="8" fillId="0" borderId="5" xfId="15" applyNumberFormat="1" applyFont="1" applyFill="1" applyBorder="1" applyAlignment="1" applyProtection="1">
      <alignment horizontal="center" vertical="center"/>
    </xf>
    <xf numFmtId="0" fontId="36" fillId="2" borderId="0" xfId="0" applyFont="1" applyFill="1" applyAlignment="1">
      <alignment vertical="center"/>
    </xf>
    <xf numFmtId="6" fontId="27" fillId="12" borderId="3" xfId="0" applyNumberFormat="1" applyFont="1" applyFill="1" applyBorder="1" applyAlignment="1">
      <alignment horizontal="center" vertical="center"/>
    </xf>
    <xf numFmtId="0" fontId="31" fillId="2" borderId="2" xfId="0" applyFont="1" applyFill="1" applyBorder="1" applyAlignment="1">
      <alignment vertical="center"/>
    </xf>
    <xf numFmtId="0" fontId="31" fillId="0" borderId="2" xfId="0" applyFont="1" applyBorder="1" applyAlignment="1">
      <alignment vertical="center"/>
    </xf>
    <xf numFmtId="0" fontId="8" fillId="0" borderId="0" xfId="0" applyFont="1" applyAlignment="1">
      <alignment vertical="center"/>
    </xf>
    <xf numFmtId="0" fontId="8" fillId="0" borderId="0" xfId="0" applyFont="1" applyAlignment="1">
      <alignment horizontal="center" vertical="center"/>
    </xf>
    <xf numFmtId="0" fontId="9" fillId="0" borderId="0" xfId="0" applyFont="1" applyAlignment="1">
      <alignment horizontal="center" vertical="center"/>
    </xf>
    <xf numFmtId="0" fontId="9" fillId="0" borderId="0" xfId="0" applyFont="1" applyAlignment="1">
      <alignment horizontal="right" vertical="center"/>
    </xf>
    <xf numFmtId="0" fontId="9" fillId="2" borderId="0" xfId="0" applyFont="1" applyFill="1" applyAlignment="1">
      <alignment horizontal="right" vertical="center"/>
    </xf>
    <xf numFmtId="0" fontId="8" fillId="0" borderId="3" xfId="0" applyFont="1" applyBorder="1" applyAlignment="1">
      <alignment vertical="center"/>
    </xf>
    <xf numFmtId="0" fontId="8" fillId="0" borderId="2" xfId="0" applyFont="1" applyBorder="1" applyAlignment="1">
      <alignment vertical="center"/>
    </xf>
    <xf numFmtId="0" fontId="8" fillId="0" borderId="4" xfId="0" applyFont="1" applyBorder="1" applyAlignment="1">
      <alignment horizontal="center" vertical="center"/>
    </xf>
    <xf numFmtId="0" fontId="9" fillId="2" borderId="0" xfId="0" applyFont="1" applyFill="1" applyAlignment="1">
      <alignment horizontal="left" vertical="center"/>
    </xf>
    <xf numFmtId="0" fontId="9" fillId="0" borderId="0" xfId="0" applyFont="1" applyAlignment="1">
      <alignment vertical="center"/>
    </xf>
    <xf numFmtId="0" fontId="10" fillId="3" borderId="19" xfId="0" applyFont="1" applyFill="1" applyBorder="1" applyAlignment="1">
      <alignment vertical="center"/>
    </xf>
    <xf numFmtId="0" fontId="10" fillId="3" borderId="18" xfId="0" applyFont="1" applyFill="1" applyBorder="1" applyAlignment="1">
      <alignment vertical="center"/>
    </xf>
    <xf numFmtId="0" fontId="10" fillId="3" borderId="34" xfId="0" applyFont="1" applyFill="1" applyBorder="1" applyAlignment="1">
      <alignment vertical="center"/>
    </xf>
    <xf numFmtId="0" fontId="10" fillId="2" borderId="19" xfId="0" applyFont="1" applyFill="1" applyBorder="1" applyAlignment="1">
      <alignment horizontal="center" vertical="center"/>
    </xf>
    <xf numFmtId="0" fontId="10" fillId="2" borderId="18" xfId="0" applyFont="1" applyFill="1" applyBorder="1" applyAlignment="1">
      <alignment horizontal="center" vertical="center"/>
    </xf>
    <xf numFmtId="0" fontId="10" fillId="2" borderId="34" xfId="0" applyFont="1" applyFill="1" applyBorder="1" applyAlignment="1">
      <alignment horizontal="center" vertical="center"/>
    </xf>
    <xf numFmtId="0" fontId="9" fillId="2" borderId="25" xfId="0" applyFont="1" applyFill="1" applyBorder="1" applyAlignment="1">
      <alignment horizontal="center" vertical="center"/>
    </xf>
    <xf numFmtId="0" fontId="9" fillId="2" borderId="30" xfId="0" applyFont="1" applyFill="1" applyBorder="1" applyAlignment="1">
      <alignment horizontal="center" vertical="center" wrapText="1"/>
    </xf>
    <xf numFmtId="0" fontId="22" fillId="0" borderId="0" xfId="0" applyFont="1" applyAlignment="1">
      <alignment vertical="center"/>
    </xf>
    <xf numFmtId="0" fontId="9" fillId="4" borderId="19" xfId="0" applyFont="1" applyFill="1" applyBorder="1" applyAlignment="1">
      <alignment vertical="center"/>
    </xf>
    <xf numFmtId="0" fontId="9" fillId="4" borderId="17" xfId="0" applyFont="1" applyFill="1" applyBorder="1" applyAlignment="1">
      <alignment vertical="center"/>
    </xf>
    <xf numFmtId="0" fontId="9" fillId="4" borderId="18" xfId="0" applyFont="1" applyFill="1" applyBorder="1" applyAlignment="1">
      <alignment vertical="center"/>
    </xf>
    <xf numFmtId="0" fontId="9" fillId="4" borderId="12" xfId="0" applyFont="1" applyFill="1" applyBorder="1" applyAlignment="1">
      <alignment horizontal="center" vertical="center"/>
    </xf>
    <xf numFmtId="171" fontId="9" fillId="4" borderId="12" xfId="0" applyNumberFormat="1" applyFont="1" applyFill="1" applyBorder="1" applyAlignment="1">
      <alignment vertical="center"/>
    </xf>
    <xf numFmtId="171" fontId="9" fillId="4" borderId="18" xfId="0" applyNumberFormat="1" applyFont="1" applyFill="1" applyBorder="1" applyAlignment="1">
      <alignment vertical="center"/>
    </xf>
    <xf numFmtId="171" fontId="9" fillId="4" borderId="17" xfId="0" applyNumberFormat="1" applyFont="1" applyFill="1" applyBorder="1" applyAlignment="1">
      <alignment vertical="center"/>
    </xf>
    <xf numFmtId="171" fontId="9" fillId="4" borderId="32" xfId="0" applyNumberFormat="1" applyFont="1" applyFill="1" applyBorder="1" applyAlignment="1">
      <alignment vertical="center"/>
    </xf>
    <xf numFmtId="171" fontId="9" fillId="4" borderId="11" xfId="0" applyNumberFormat="1" applyFont="1" applyFill="1" applyBorder="1" applyAlignment="1">
      <alignment vertical="center"/>
    </xf>
    <xf numFmtId="9" fontId="9" fillId="2" borderId="1" xfId="0" applyNumberFormat="1" applyFont="1" applyFill="1" applyBorder="1" applyAlignment="1">
      <alignment horizontal="center" vertical="center"/>
    </xf>
    <xf numFmtId="49" fontId="8" fillId="2" borderId="2" xfId="0" applyNumberFormat="1" applyFont="1" applyFill="1" applyBorder="1" applyAlignment="1">
      <alignment horizontal="left" vertical="center"/>
    </xf>
    <xf numFmtId="0" fontId="9" fillId="0" borderId="66" xfId="0" applyFont="1" applyBorder="1" applyAlignment="1">
      <alignment vertical="center"/>
    </xf>
    <xf numFmtId="0" fontId="9" fillId="0" borderId="15" xfId="0" applyFont="1" applyBorder="1" applyAlignment="1">
      <alignment vertical="center"/>
    </xf>
    <xf numFmtId="0" fontId="9" fillId="0" borderId="54" xfId="0" applyFont="1" applyBorder="1" applyAlignment="1">
      <alignment vertical="center"/>
    </xf>
    <xf numFmtId="172" fontId="9" fillId="0" borderId="54" xfId="0" applyNumberFormat="1" applyFont="1" applyBorder="1" applyAlignment="1">
      <alignment horizontal="center" vertical="center" wrapText="1"/>
    </xf>
    <xf numFmtId="170" fontId="10" fillId="2" borderId="0" xfId="0" applyNumberFormat="1" applyFont="1" applyFill="1" applyAlignment="1">
      <alignment horizontal="center" vertical="center" wrapText="1"/>
    </xf>
    <xf numFmtId="1" fontId="19" fillId="2" borderId="0" xfId="0" applyNumberFormat="1" applyFont="1" applyFill="1" applyAlignment="1">
      <alignment vertical="center"/>
    </xf>
    <xf numFmtId="0" fontId="19" fillId="2" borderId="0" xfId="0" applyFont="1" applyFill="1" applyAlignment="1">
      <alignment vertical="center"/>
    </xf>
    <xf numFmtId="0" fontId="24" fillId="2" borderId="0" xfId="0" applyFont="1" applyFill="1" applyAlignment="1">
      <alignment vertical="center"/>
    </xf>
    <xf numFmtId="170" fontId="8" fillId="12" borderId="5" xfId="0" applyNumberFormat="1" applyFont="1" applyFill="1" applyBorder="1" applyAlignment="1">
      <alignment horizontal="center" vertical="center"/>
    </xf>
    <xf numFmtId="170" fontId="8" fillId="0" borderId="5" xfId="0" applyNumberFormat="1" applyFont="1" applyBorder="1" applyAlignment="1">
      <alignment horizontal="center" vertical="center"/>
    </xf>
    <xf numFmtId="170" fontId="8" fillId="0" borderId="37" xfId="0" applyNumberFormat="1" applyFont="1" applyBorder="1" applyAlignment="1">
      <alignment horizontal="center" vertical="center"/>
    </xf>
    <xf numFmtId="170" fontId="8" fillId="6" borderId="4" xfId="15" applyNumberFormat="1" applyFont="1" applyFill="1" applyBorder="1" applyAlignment="1" applyProtection="1">
      <alignment horizontal="center" vertical="center"/>
    </xf>
    <xf numFmtId="170" fontId="8" fillId="0" borderId="35" xfId="0" applyNumberFormat="1" applyFont="1" applyBorder="1" applyAlignment="1">
      <alignment horizontal="center" vertical="center"/>
    </xf>
    <xf numFmtId="0" fontId="22" fillId="12" borderId="0" xfId="0" applyFont="1" applyFill="1" applyAlignment="1">
      <alignment vertical="center"/>
    </xf>
    <xf numFmtId="170" fontId="8" fillId="0" borderId="4" xfId="0" applyNumberFormat="1" applyFont="1" applyBorder="1" applyAlignment="1">
      <alignment horizontal="center" vertical="center"/>
    </xf>
    <xf numFmtId="170" fontId="8" fillId="0" borderId="33" xfId="0" applyNumberFormat="1" applyFont="1" applyBorder="1" applyAlignment="1">
      <alignment horizontal="center" vertical="center"/>
    </xf>
    <xf numFmtId="169" fontId="19" fillId="2" borderId="0" xfId="0" applyNumberFormat="1" applyFont="1" applyFill="1" applyAlignment="1">
      <alignment vertical="center"/>
    </xf>
    <xf numFmtId="1" fontId="19" fillId="0" borderId="0" xfId="0" applyNumberFormat="1" applyFont="1" applyAlignment="1">
      <alignment vertical="center"/>
    </xf>
    <xf numFmtId="173" fontId="8" fillId="6" borderId="4" xfId="15" applyNumberFormat="1" applyFont="1" applyFill="1" applyBorder="1" applyAlignment="1" applyProtection="1">
      <alignment horizontal="center" vertical="center"/>
    </xf>
    <xf numFmtId="1" fontId="24" fillId="2" borderId="0" xfId="0" applyNumberFormat="1" applyFont="1" applyFill="1" applyAlignment="1">
      <alignment vertical="center"/>
    </xf>
    <xf numFmtId="0" fontId="9" fillId="5" borderId="9" xfId="0" applyFont="1" applyFill="1" applyBorder="1" applyAlignment="1">
      <alignment horizontal="center" vertical="center"/>
    </xf>
    <xf numFmtId="173" fontId="9" fillId="5" borderId="9" xfId="0" applyNumberFormat="1" applyFont="1" applyFill="1" applyBorder="1" applyAlignment="1">
      <alignment vertical="center"/>
    </xf>
    <xf numFmtId="170" fontId="9" fillId="5" borderId="41" xfId="0" applyNumberFormat="1" applyFont="1" applyFill="1" applyBorder="1" applyAlignment="1">
      <alignment horizontal="center" vertical="center"/>
    </xf>
    <xf numFmtId="170" fontId="9" fillId="5" borderId="36" xfId="0" applyNumberFormat="1" applyFont="1" applyFill="1" applyBorder="1" applyAlignment="1">
      <alignment horizontal="center" vertical="center"/>
    </xf>
    <xf numFmtId="170" fontId="9" fillId="5" borderId="39" xfId="0" applyNumberFormat="1" applyFont="1" applyFill="1" applyBorder="1" applyAlignment="1">
      <alignment horizontal="center" vertical="center"/>
    </xf>
    <xf numFmtId="170" fontId="9" fillId="5" borderId="20" xfId="0" applyNumberFormat="1" applyFont="1" applyFill="1" applyBorder="1" applyAlignment="1">
      <alignment horizontal="center" vertical="center"/>
    </xf>
    <xf numFmtId="170" fontId="9" fillId="2" borderId="0" xfId="0" applyNumberFormat="1" applyFont="1" applyFill="1" applyAlignment="1">
      <alignment horizontal="center" vertical="center" wrapText="1"/>
    </xf>
    <xf numFmtId="0" fontId="8" fillId="0" borderId="3" xfId="0" applyFont="1" applyBorder="1" applyAlignment="1">
      <alignment horizontal="left" vertical="center"/>
    </xf>
    <xf numFmtId="170" fontId="8" fillId="2" borderId="5" xfId="0" applyNumberFormat="1" applyFont="1" applyFill="1" applyBorder="1" applyAlignment="1">
      <alignment horizontal="center" vertical="center"/>
    </xf>
    <xf numFmtId="170" fontId="9" fillId="5" borderId="8" xfId="0" applyNumberFormat="1" applyFont="1" applyFill="1" applyBorder="1" applyAlignment="1">
      <alignment horizontal="center" vertical="center"/>
    </xf>
    <xf numFmtId="170" fontId="9" fillId="5" borderId="23" xfId="0" applyNumberFormat="1" applyFont="1" applyFill="1" applyBorder="1" applyAlignment="1">
      <alignment horizontal="center" vertical="center"/>
    </xf>
    <xf numFmtId="170" fontId="9" fillId="5" borderId="9" xfId="0" applyNumberFormat="1" applyFont="1" applyFill="1" applyBorder="1" applyAlignment="1">
      <alignment horizontal="center" vertical="center"/>
    </xf>
    <xf numFmtId="170" fontId="23" fillId="2" borderId="0" xfId="0" applyNumberFormat="1" applyFont="1" applyFill="1" applyAlignment="1">
      <alignment horizontal="center" vertical="center" wrapText="1"/>
    </xf>
    <xf numFmtId="1" fontId="8" fillId="2" borderId="0" xfId="0" applyNumberFormat="1" applyFont="1" applyFill="1" applyAlignment="1">
      <alignment vertical="center"/>
    </xf>
    <xf numFmtId="1" fontId="24" fillId="0" borderId="0" xfId="0" applyNumberFormat="1" applyFont="1" applyAlignment="1">
      <alignment vertical="center"/>
    </xf>
    <xf numFmtId="0" fontId="9" fillId="0" borderId="4" xfId="15" applyNumberFormat="1" applyFont="1" applyFill="1" applyBorder="1" applyAlignment="1" applyProtection="1">
      <alignment horizontal="center" vertical="center"/>
    </xf>
    <xf numFmtId="173" fontId="8" fillId="0" borderId="4" xfId="0" applyNumberFormat="1" applyFont="1" applyBorder="1" applyAlignment="1">
      <alignment vertical="center"/>
    </xf>
    <xf numFmtId="170" fontId="8" fillId="6" borderId="7" xfId="15" applyNumberFormat="1" applyFont="1" applyFill="1" applyBorder="1" applyAlignment="1" applyProtection="1">
      <alignment horizontal="center" vertical="center"/>
    </xf>
    <xf numFmtId="0" fontId="19" fillId="0" borderId="0" xfId="0" applyFont="1" applyAlignment="1">
      <alignment vertical="center"/>
    </xf>
    <xf numFmtId="173" fontId="8" fillId="0" borderId="21" xfId="0" applyNumberFormat="1" applyFont="1" applyBorder="1" applyAlignment="1">
      <alignment vertical="center"/>
    </xf>
    <xf numFmtId="0" fontId="8" fillId="6" borderId="7" xfId="15" applyNumberFormat="1" applyFont="1" applyFill="1" applyBorder="1" applyAlignment="1" applyProtection="1">
      <alignment horizontal="center" vertical="center"/>
    </xf>
    <xf numFmtId="173" fontId="9" fillId="5" borderId="50" xfId="0" applyNumberFormat="1" applyFont="1" applyFill="1" applyBorder="1" applyAlignment="1">
      <alignment vertical="center"/>
    </xf>
    <xf numFmtId="0" fontId="8" fillId="2" borderId="0" xfId="0" applyFont="1" applyFill="1" applyAlignment="1">
      <alignment horizontal="center" vertical="center"/>
    </xf>
    <xf numFmtId="0" fontId="8" fillId="2" borderId="51" xfId="0" applyFont="1" applyFill="1" applyBorder="1" applyAlignment="1">
      <alignment vertical="center"/>
    </xf>
    <xf numFmtId="0" fontId="8" fillId="2" borderId="23" xfId="0" applyFont="1" applyFill="1" applyBorder="1" applyAlignment="1">
      <alignment horizontal="right" vertical="center" wrapText="1"/>
    </xf>
    <xf numFmtId="0" fontId="22" fillId="0" borderId="23" xfId="0" applyFont="1" applyBorder="1" applyAlignment="1">
      <alignment vertical="center"/>
    </xf>
    <xf numFmtId="0" fontId="9" fillId="2" borderId="23" xfId="0" applyFont="1" applyFill="1" applyBorder="1" applyAlignment="1">
      <alignment vertical="center" wrapText="1"/>
    </xf>
    <xf numFmtId="0" fontId="9" fillId="2" borderId="41" xfId="0" applyFont="1" applyFill="1" applyBorder="1" applyAlignment="1">
      <alignment horizontal="right" vertical="center"/>
    </xf>
    <xf numFmtId="170" fontId="9" fillId="2" borderId="23" xfId="0" applyNumberFormat="1" applyFont="1" applyFill="1" applyBorder="1" applyAlignment="1">
      <alignment horizontal="center" vertical="center"/>
    </xf>
    <xf numFmtId="170" fontId="9" fillId="2" borderId="36" xfId="0" applyNumberFormat="1" applyFont="1" applyFill="1" applyBorder="1" applyAlignment="1">
      <alignment horizontal="center" vertical="center"/>
    </xf>
    <xf numFmtId="170" fontId="9" fillId="2" borderId="55" xfId="0" applyNumberFormat="1" applyFont="1" applyFill="1" applyBorder="1" applyAlignment="1">
      <alignment horizontal="center" vertical="center"/>
    </xf>
    <xf numFmtId="170" fontId="9" fillId="2" borderId="0" xfId="0" applyNumberFormat="1" applyFont="1" applyFill="1" applyAlignment="1">
      <alignment horizontal="center" vertical="center"/>
    </xf>
    <xf numFmtId="49" fontId="24" fillId="2" borderId="0" xfId="0" applyNumberFormat="1" applyFont="1" applyFill="1" applyAlignment="1">
      <alignment horizontal="left" vertical="center"/>
    </xf>
    <xf numFmtId="0" fontId="24" fillId="0" borderId="0" xfId="0" applyFont="1" applyAlignment="1">
      <alignment vertical="center"/>
    </xf>
    <xf numFmtId="0" fontId="24" fillId="2" borderId="0" xfId="0" applyFont="1" applyFill="1" applyAlignment="1">
      <alignment horizontal="left" vertical="center"/>
    </xf>
    <xf numFmtId="0" fontId="22" fillId="2" borderId="0" xfId="0" applyFont="1" applyFill="1" applyAlignment="1">
      <alignment vertical="center"/>
    </xf>
    <xf numFmtId="0" fontId="9" fillId="4" borderId="18" xfId="0" applyFont="1" applyFill="1" applyBorder="1" applyAlignment="1">
      <alignment horizontal="center" vertical="center"/>
    </xf>
    <xf numFmtId="171" fontId="9" fillId="4" borderId="38" xfId="0" applyNumberFormat="1" applyFont="1" applyFill="1" applyBorder="1" applyAlignment="1">
      <alignment vertical="center"/>
    </xf>
    <xf numFmtId="172" fontId="9" fillId="0" borderId="22" xfId="0" applyNumberFormat="1" applyFont="1" applyBorder="1" applyAlignment="1">
      <alignment horizontal="center" vertical="center" wrapText="1"/>
    </xf>
    <xf numFmtId="170" fontId="8" fillId="2" borderId="4" xfId="0" applyNumberFormat="1" applyFont="1" applyFill="1" applyBorder="1" applyAlignment="1">
      <alignment horizontal="center" vertical="center"/>
    </xf>
    <xf numFmtId="0" fontId="8" fillId="6" borderId="0" xfId="15" applyNumberFormat="1" applyFont="1" applyFill="1" applyBorder="1" applyAlignment="1" applyProtection="1">
      <alignment horizontal="center" vertical="center"/>
    </xf>
    <xf numFmtId="170" fontId="8" fillId="0" borderId="0" xfId="0" applyNumberFormat="1" applyFont="1" applyAlignment="1">
      <alignment horizontal="center" vertical="center"/>
    </xf>
    <xf numFmtId="0" fontId="9" fillId="4" borderId="51" xfId="0" applyFont="1" applyFill="1" applyBorder="1" applyAlignment="1">
      <alignment vertical="center"/>
    </xf>
    <xf numFmtId="0" fontId="9" fillId="4" borderId="67" xfId="0" applyFont="1" applyFill="1" applyBorder="1" applyAlignment="1">
      <alignment vertical="center"/>
    </xf>
    <xf numFmtId="0" fontId="9" fillId="4" borderId="23" xfId="0" applyFont="1" applyFill="1" applyBorder="1" applyAlignment="1">
      <alignment vertical="center"/>
    </xf>
    <xf numFmtId="0" fontId="9" fillId="4" borderId="41" xfId="0" applyFont="1" applyFill="1" applyBorder="1" applyAlignment="1">
      <alignment vertical="center"/>
    </xf>
    <xf numFmtId="171" fontId="9" fillId="4" borderId="23" xfId="0" applyNumberFormat="1" applyFont="1" applyFill="1" applyBorder="1" applyAlignment="1">
      <alignment vertical="center"/>
    </xf>
    <xf numFmtId="171" fontId="9" fillId="4" borderId="67" xfId="0" applyNumberFormat="1" applyFont="1" applyFill="1" applyBorder="1" applyAlignment="1">
      <alignment vertical="center"/>
    </xf>
    <xf numFmtId="171" fontId="9" fillId="4" borderId="55" xfId="0" applyNumberFormat="1" applyFont="1" applyFill="1" applyBorder="1" applyAlignment="1">
      <alignment vertical="center"/>
    </xf>
    <xf numFmtId="171" fontId="9" fillId="4" borderId="34" xfId="0" applyNumberFormat="1" applyFont="1" applyFill="1" applyBorder="1" applyAlignment="1">
      <alignment vertical="center"/>
    </xf>
    <xf numFmtId="0" fontId="8" fillId="2" borderId="49" xfId="0" applyFont="1" applyFill="1" applyBorder="1" applyAlignment="1">
      <alignment vertical="center"/>
    </xf>
    <xf numFmtId="49" fontId="8" fillId="0" borderId="59" xfId="0" applyNumberFormat="1" applyFont="1" applyBorder="1" applyAlignment="1">
      <alignment vertical="center"/>
    </xf>
    <xf numFmtId="49" fontId="8" fillId="0" borderId="54" xfId="0" applyNumberFormat="1" applyFont="1" applyBorder="1" applyAlignment="1">
      <alignment vertical="center"/>
    </xf>
    <xf numFmtId="170" fontId="8" fillId="0" borderId="22" xfId="0" applyNumberFormat="1" applyFont="1" applyBorder="1" applyAlignment="1">
      <alignment vertical="center"/>
    </xf>
    <xf numFmtId="170" fontId="8" fillId="2" borderId="22" xfId="0" applyNumberFormat="1" applyFont="1" applyFill="1" applyBorder="1" applyAlignment="1">
      <alignment horizontal="center" vertical="center"/>
    </xf>
    <xf numFmtId="170" fontId="8" fillId="6" borderId="49" xfId="15" applyNumberFormat="1" applyFont="1" applyFill="1" applyBorder="1" applyAlignment="1" applyProtection="1">
      <alignment horizontal="center" vertical="center"/>
    </xf>
    <xf numFmtId="170" fontId="8" fillId="6" borderId="22" xfId="15" applyNumberFormat="1" applyFont="1" applyFill="1" applyBorder="1" applyAlignment="1" applyProtection="1">
      <alignment horizontal="center" vertical="center"/>
    </xf>
    <xf numFmtId="170" fontId="8" fillId="6" borderId="40" xfId="15" applyNumberFormat="1" applyFont="1" applyFill="1" applyBorder="1" applyAlignment="1" applyProtection="1">
      <alignment horizontal="center" vertical="center"/>
    </xf>
    <xf numFmtId="170" fontId="8" fillId="0" borderId="52" xfId="0" applyNumberFormat="1" applyFont="1" applyBorder="1" applyAlignment="1">
      <alignment horizontal="center" vertical="center"/>
    </xf>
    <xf numFmtId="170" fontId="8" fillId="2" borderId="0" xfId="0" applyNumberFormat="1" applyFont="1" applyFill="1" applyAlignment="1">
      <alignment vertical="center"/>
    </xf>
    <xf numFmtId="49" fontId="8" fillId="2" borderId="0" xfId="0" applyNumberFormat="1" applyFont="1" applyFill="1" applyAlignment="1">
      <alignment horizontal="left" vertical="center"/>
    </xf>
    <xf numFmtId="0" fontId="8" fillId="2" borderId="7" xfId="0" applyFont="1" applyFill="1" applyBorder="1" applyAlignment="1">
      <alignment vertical="center"/>
    </xf>
    <xf numFmtId="49" fontId="8" fillId="0" borderId="3" xfId="0" applyNumberFormat="1" applyFont="1" applyBorder="1" applyAlignment="1">
      <alignment vertical="center"/>
    </xf>
    <xf numFmtId="49" fontId="8" fillId="0" borderId="1" xfId="0" applyNumberFormat="1" applyFont="1" applyBorder="1" applyAlignment="1">
      <alignment vertical="center"/>
    </xf>
    <xf numFmtId="170" fontId="8" fillId="0" borderId="4" xfId="0" applyNumberFormat="1" applyFont="1" applyBorder="1" applyAlignment="1">
      <alignment vertical="center"/>
    </xf>
    <xf numFmtId="170" fontId="8" fillId="6" borderId="2" xfId="15" applyNumberFormat="1" applyFont="1" applyFill="1" applyBorder="1" applyAlignment="1" applyProtection="1">
      <alignment horizontal="center" vertical="center"/>
    </xf>
    <xf numFmtId="0" fontId="8" fillId="2" borderId="8" xfId="0" applyFont="1" applyFill="1" applyBorder="1" applyAlignment="1">
      <alignment vertical="center"/>
    </xf>
    <xf numFmtId="0" fontId="8" fillId="0" borderId="65" xfId="0" applyFont="1" applyBorder="1" applyAlignment="1">
      <alignment vertical="center"/>
    </xf>
    <xf numFmtId="170" fontId="8" fillId="2" borderId="36" xfId="0" applyNumberFormat="1" applyFont="1" applyFill="1" applyBorder="1" applyAlignment="1">
      <alignment horizontal="center" vertical="center"/>
    </xf>
    <xf numFmtId="170" fontId="8" fillId="6" borderId="8" xfId="15" applyNumberFormat="1" applyFont="1" applyFill="1" applyBorder="1" applyAlignment="1" applyProtection="1">
      <alignment horizontal="center" vertical="center"/>
    </xf>
    <xf numFmtId="170" fontId="8" fillId="6" borderId="9" xfId="15" applyNumberFormat="1" applyFont="1" applyFill="1" applyBorder="1" applyAlignment="1" applyProtection="1">
      <alignment horizontal="center" vertical="center"/>
    </xf>
    <xf numFmtId="170" fontId="8" fillId="6" borderId="16" xfId="15" applyNumberFormat="1" applyFont="1" applyFill="1" applyBorder="1" applyAlignment="1" applyProtection="1">
      <alignment horizontal="center" vertical="center"/>
    </xf>
    <xf numFmtId="170" fontId="8" fillId="0" borderId="50" xfId="0" applyNumberFormat="1" applyFont="1" applyBorder="1" applyAlignment="1">
      <alignment horizontal="center" vertical="center"/>
    </xf>
    <xf numFmtId="0" fontId="8" fillId="2" borderId="26" xfId="0" applyFont="1" applyFill="1" applyBorder="1" applyAlignment="1">
      <alignment vertical="center"/>
    </xf>
    <xf numFmtId="0" fontId="8" fillId="2" borderId="0" xfId="0" applyFont="1" applyFill="1" applyAlignment="1">
      <alignment horizontal="right" vertical="center" wrapText="1"/>
    </xf>
    <xf numFmtId="0" fontId="9" fillId="2" borderId="0" xfId="0" applyFont="1" applyFill="1" applyAlignment="1">
      <alignment vertical="center" wrapText="1"/>
    </xf>
    <xf numFmtId="170" fontId="9" fillId="2" borderId="12" xfId="0" applyNumberFormat="1" applyFont="1" applyFill="1" applyBorder="1" applyAlignment="1">
      <alignment horizontal="center" vertical="center"/>
    </xf>
    <xf numFmtId="0" fontId="9" fillId="4" borderId="38" xfId="0" applyFont="1" applyFill="1" applyBorder="1" applyAlignment="1">
      <alignment vertical="center"/>
    </xf>
    <xf numFmtId="170" fontId="9" fillId="4" borderId="12" xfId="0" applyNumberFormat="1" applyFont="1" applyFill="1" applyBorder="1" applyAlignment="1">
      <alignment horizontal="right" vertical="center"/>
    </xf>
    <xf numFmtId="170" fontId="9" fillId="4" borderId="17" xfId="0" applyNumberFormat="1" applyFont="1" applyFill="1" applyBorder="1" applyAlignment="1">
      <alignment horizontal="right" vertical="center"/>
    </xf>
    <xf numFmtId="9" fontId="9" fillId="2" borderId="48" xfId="0" applyNumberFormat="1" applyFont="1" applyFill="1" applyBorder="1" applyAlignment="1">
      <alignment horizontal="center" vertical="center"/>
    </xf>
    <xf numFmtId="170" fontId="8" fillId="0" borderId="0" xfId="0" applyNumberFormat="1" applyFont="1" applyAlignment="1">
      <alignment vertical="center"/>
    </xf>
    <xf numFmtId="0" fontId="8" fillId="2" borderId="19" xfId="0" applyFont="1" applyFill="1" applyBorder="1" applyAlignment="1">
      <alignment vertical="center"/>
    </xf>
    <xf numFmtId="0" fontId="22" fillId="0" borderId="18" xfId="0" applyFont="1" applyBorder="1" applyAlignment="1">
      <alignment vertical="center"/>
    </xf>
    <xf numFmtId="0" fontId="9" fillId="2" borderId="18" xfId="0" applyFont="1" applyFill="1" applyBorder="1" applyAlignment="1">
      <alignment vertical="center" wrapText="1"/>
    </xf>
    <xf numFmtId="0" fontId="9" fillId="2" borderId="38" xfId="0" applyFont="1" applyFill="1" applyBorder="1" applyAlignment="1">
      <alignment horizontal="right" vertical="center"/>
    </xf>
    <xf numFmtId="170" fontId="9" fillId="2" borderId="32" xfId="0" applyNumberFormat="1" applyFont="1" applyFill="1" applyBorder="1" applyAlignment="1">
      <alignment horizontal="center" vertical="center"/>
    </xf>
    <xf numFmtId="170" fontId="9" fillId="2" borderId="39" xfId="0" applyNumberFormat="1" applyFont="1" applyFill="1" applyBorder="1" applyAlignment="1">
      <alignment horizontal="center" vertical="center"/>
    </xf>
    <xf numFmtId="0" fontId="9" fillId="2" borderId="11" xfId="0" applyFont="1" applyFill="1" applyBorder="1" applyAlignment="1">
      <alignment horizontal="center" vertical="center"/>
    </xf>
    <xf numFmtId="0" fontId="9" fillId="2" borderId="17" xfId="0" applyFont="1" applyFill="1" applyBorder="1" applyAlignment="1">
      <alignment vertical="center"/>
    </xf>
    <xf numFmtId="0" fontId="9" fillId="2" borderId="18" xfId="0" applyFont="1" applyFill="1" applyBorder="1" applyAlignment="1">
      <alignment vertical="center"/>
    </xf>
    <xf numFmtId="170" fontId="9" fillId="4" borderId="38" xfId="0" applyNumberFormat="1" applyFont="1" applyFill="1" applyBorder="1" applyAlignment="1">
      <alignment vertical="center"/>
    </xf>
    <xf numFmtId="49" fontId="9" fillId="2" borderId="0" xfId="0" applyNumberFormat="1" applyFont="1" applyFill="1" applyAlignment="1">
      <alignment horizontal="left" vertical="center"/>
    </xf>
    <xf numFmtId="0" fontId="8" fillId="2" borderId="13" xfId="0" applyFont="1" applyFill="1" applyBorder="1" applyAlignment="1">
      <alignment vertical="center"/>
    </xf>
    <xf numFmtId="0" fontId="8" fillId="0" borderId="59" xfId="0" applyFont="1" applyBorder="1" applyAlignment="1">
      <alignment vertical="center"/>
    </xf>
    <xf numFmtId="0" fontId="8" fillId="0" borderId="54" xfId="0" applyFont="1" applyBorder="1" applyAlignment="1">
      <alignment vertical="center"/>
    </xf>
    <xf numFmtId="0" fontId="8" fillId="0" borderId="14" xfId="0" applyFont="1" applyBorder="1" applyAlignment="1">
      <alignment vertical="center"/>
    </xf>
    <xf numFmtId="170" fontId="8" fillId="6" borderId="13" xfId="15" applyNumberFormat="1" applyFont="1" applyFill="1" applyBorder="1" applyAlignment="1" applyProtection="1">
      <alignment horizontal="center" vertical="center"/>
    </xf>
    <xf numFmtId="170" fontId="8" fillId="6" borderId="5" xfId="15" applyNumberFormat="1" applyFont="1" applyFill="1" applyBorder="1" applyAlignment="1" applyProtection="1">
      <alignment horizontal="center" vertical="center"/>
    </xf>
    <xf numFmtId="0" fontId="8" fillId="6" borderId="5" xfId="15" applyNumberFormat="1" applyFont="1" applyFill="1" applyBorder="1" applyAlignment="1" applyProtection="1">
      <alignment horizontal="center" vertical="center"/>
    </xf>
    <xf numFmtId="0" fontId="8" fillId="0" borderId="63" xfId="0" applyFont="1" applyBorder="1" applyAlignment="1">
      <alignment vertical="center"/>
    </xf>
    <xf numFmtId="0" fontId="8" fillId="0" borderId="24" xfId="0" applyFont="1" applyBorder="1" applyAlignment="1">
      <alignment vertical="center" wrapText="1"/>
    </xf>
    <xf numFmtId="0" fontId="8" fillId="0" borderId="2" xfId="0" applyFont="1" applyBorder="1" applyAlignment="1">
      <alignment vertical="center" wrapText="1"/>
    </xf>
    <xf numFmtId="170" fontId="8" fillId="2" borderId="0" xfId="0" applyNumberFormat="1" applyFont="1" applyFill="1" applyAlignment="1">
      <alignment horizontal="center" vertical="center"/>
    </xf>
    <xf numFmtId="0" fontId="8" fillId="0" borderId="1" xfId="0" applyFont="1" applyBorder="1" applyAlignment="1">
      <alignment vertical="center" wrapText="1"/>
    </xf>
    <xf numFmtId="49" fontId="8" fillId="2" borderId="1" xfId="0" applyNumberFormat="1" applyFont="1" applyFill="1" applyBorder="1" applyAlignment="1">
      <alignment horizontal="left" vertical="center"/>
    </xf>
    <xf numFmtId="0" fontId="8" fillId="0" borderId="18" xfId="0" applyFont="1" applyBorder="1" applyAlignment="1">
      <alignment vertical="center"/>
    </xf>
    <xf numFmtId="0" fontId="22" fillId="0" borderId="25" xfId="0" applyFont="1" applyBorder="1" applyAlignment="1">
      <alignment vertical="center"/>
    </xf>
    <xf numFmtId="0" fontId="22" fillId="0" borderId="15" xfId="0" applyFont="1" applyBorder="1" applyAlignment="1">
      <alignment horizontal="left" vertical="center"/>
    </xf>
    <xf numFmtId="9" fontId="22" fillId="0" borderId="15" xfId="0" applyNumberFormat="1" applyFont="1" applyBorder="1" applyAlignment="1">
      <alignment horizontal="left" vertical="center"/>
    </xf>
    <xf numFmtId="9" fontId="22" fillId="0" borderId="42" xfId="0" applyNumberFormat="1" applyFont="1" applyBorder="1" applyAlignment="1">
      <alignment horizontal="left" vertical="center"/>
    </xf>
    <xf numFmtId="9" fontId="22" fillId="0" borderId="0" xfId="0" applyNumberFormat="1" applyFont="1" applyAlignment="1">
      <alignment horizontal="left" vertical="center"/>
    </xf>
    <xf numFmtId="170" fontId="8" fillId="2" borderId="0" xfId="0" applyNumberFormat="1" applyFont="1" applyFill="1" applyAlignment="1">
      <alignment horizontal="right" vertical="center"/>
    </xf>
    <xf numFmtId="0" fontId="10" fillId="3" borderId="19" xfId="0" applyFont="1" applyFill="1" applyBorder="1" applyAlignment="1">
      <alignment horizontal="left" vertical="center"/>
    </xf>
    <xf numFmtId="0" fontId="10" fillId="3" borderId="18" xfId="0" applyFont="1" applyFill="1" applyBorder="1" applyAlignment="1">
      <alignment horizontal="left" vertical="center"/>
    </xf>
    <xf numFmtId="0" fontId="10" fillId="3" borderId="18" xfId="0" applyFont="1" applyFill="1" applyBorder="1" applyAlignment="1">
      <alignment horizontal="right" vertical="center"/>
    </xf>
    <xf numFmtId="0" fontId="19" fillId="3" borderId="18" xfId="0" applyFont="1" applyFill="1" applyBorder="1" applyAlignment="1">
      <alignment vertical="center"/>
    </xf>
    <xf numFmtId="0" fontId="10" fillId="3" borderId="38" xfId="0" applyFont="1" applyFill="1" applyBorder="1" applyAlignment="1">
      <alignment horizontal="center" vertical="center"/>
    </xf>
    <xf numFmtId="170" fontId="10" fillId="3" borderId="38" xfId="0" applyNumberFormat="1" applyFont="1" applyFill="1" applyBorder="1" applyAlignment="1">
      <alignment horizontal="center" vertical="center"/>
    </xf>
    <xf numFmtId="170" fontId="10" fillId="3" borderId="34" xfId="0" applyNumberFormat="1" applyFont="1" applyFill="1" applyBorder="1" applyAlignment="1">
      <alignment horizontal="center" vertical="center"/>
    </xf>
    <xf numFmtId="0" fontId="8" fillId="2" borderId="53" xfId="0" applyFont="1" applyFill="1" applyBorder="1" applyAlignment="1">
      <alignment vertical="center"/>
    </xf>
    <xf numFmtId="0" fontId="8" fillId="0" borderId="54" xfId="0" applyFont="1" applyBorder="1" applyAlignment="1">
      <alignment vertical="center" wrapText="1"/>
    </xf>
    <xf numFmtId="0" fontId="9" fillId="0" borderId="54" xfId="0" applyFont="1" applyBorder="1" applyAlignment="1">
      <alignment horizontal="right" vertical="center"/>
    </xf>
    <xf numFmtId="170" fontId="9" fillId="2" borderId="22" xfId="0" applyNumberFormat="1" applyFont="1" applyFill="1" applyBorder="1" applyAlignment="1">
      <alignment horizontal="center" vertical="center"/>
    </xf>
    <xf numFmtId="170" fontId="9" fillId="0" borderId="22" xfId="0" applyNumberFormat="1" applyFont="1" applyBorder="1" applyAlignment="1">
      <alignment horizontal="center" vertical="center"/>
    </xf>
    <xf numFmtId="170" fontId="9" fillId="0" borderId="60" xfId="0" applyNumberFormat="1" applyFont="1" applyBorder="1" applyAlignment="1">
      <alignment horizontal="center" vertical="center"/>
    </xf>
    <xf numFmtId="0" fontId="8" fillId="0" borderId="23" xfId="0" applyFont="1" applyBorder="1" applyAlignment="1">
      <alignment vertical="center"/>
    </xf>
    <xf numFmtId="0" fontId="8" fillId="0" borderId="23" xfId="0" applyFont="1" applyBorder="1" applyAlignment="1">
      <alignment vertical="center" wrapText="1"/>
    </xf>
    <xf numFmtId="0" fontId="9" fillId="0" borderId="23" xfId="0" applyFont="1" applyBorder="1" applyAlignment="1">
      <alignment horizontal="right" vertical="center"/>
    </xf>
    <xf numFmtId="170" fontId="8" fillId="2" borderId="67" xfId="0" applyNumberFormat="1" applyFont="1" applyFill="1" applyBorder="1" applyAlignment="1">
      <alignment horizontal="center" vertical="center"/>
    </xf>
    <xf numFmtId="170" fontId="8" fillId="2" borderId="26" xfId="0" applyNumberFormat="1" applyFont="1" applyFill="1" applyBorder="1" applyAlignment="1">
      <alignment horizontal="center" vertical="center"/>
    </xf>
    <xf numFmtId="0" fontId="8" fillId="0" borderId="0" xfId="0" applyFont="1" applyAlignment="1">
      <alignment horizontal="left" vertical="center"/>
    </xf>
    <xf numFmtId="169" fontId="8" fillId="2" borderId="0" xfId="0" applyNumberFormat="1" applyFont="1" applyFill="1" applyAlignment="1">
      <alignment horizontal="right" vertical="center"/>
    </xf>
    <xf numFmtId="0" fontId="8" fillId="0" borderId="26" xfId="0" applyFont="1" applyBorder="1" applyAlignment="1">
      <alignment vertical="center"/>
    </xf>
    <xf numFmtId="0" fontId="9" fillId="0" borderId="54" xfId="0" applyFont="1" applyBorder="1" applyAlignment="1">
      <alignment vertical="center" wrapText="1"/>
    </xf>
    <xf numFmtId="0" fontId="9" fillId="0" borderId="40" xfId="0" applyFont="1" applyBorder="1" applyAlignment="1">
      <alignment vertical="center" wrapText="1"/>
    </xf>
    <xf numFmtId="170" fontId="8" fillId="0" borderId="22" xfId="0" applyNumberFormat="1" applyFont="1" applyBorder="1" applyAlignment="1">
      <alignment horizontal="center" vertical="center"/>
    </xf>
    <xf numFmtId="170" fontId="8" fillId="0" borderId="42" xfId="0" applyNumberFormat="1" applyFont="1" applyBorder="1" applyAlignment="1">
      <alignment horizontal="center" vertical="center"/>
    </xf>
    <xf numFmtId="0" fontId="8" fillId="6" borderId="22" xfId="15" applyNumberFormat="1" applyFont="1" applyFill="1" applyBorder="1" applyAlignment="1" applyProtection="1">
      <alignment horizontal="center" vertical="center"/>
    </xf>
    <xf numFmtId="0" fontId="9" fillId="0" borderId="10" xfId="0" applyFont="1" applyBorder="1" applyAlignment="1">
      <alignment vertical="center" wrapText="1"/>
    </xf>
    <xf numFmtId="0" fontId="9" fillId="0" borderId="16" xfId="0" applyFont="1" applyBorder="1" applyAlignment="1">
      <alignment vertical="center" wrapText="1"/>
    </xf>
    <xf numFmtId="170" fontId="8" fillId="0" borderId="36" xfId="0" applyNumberFormat="1" applyFont="1" applyBorder="1" applyAlignment="1">
      <alignment horizontal="center" vertical="center"/>
    </xf>
    <xf numFmtId="170" fontId="8" fillId="8" borderId="36" xfId="0" applyNumberFormat="1" applyFont="1" applyFill="1" applyBorder="1" applyAlignment="1">
      <alignment horizontal="center" vertical="center"/>
    </xf>
    <xf numFmtId="170" fontId="8" fillId="0" borderId="58" xfId="0" applyNumberFormat="1" applyFont="1" applyBorder="1" applyAlignment="1">
      <alignment horizontal="center" vertical="center"/>
    </xf>
    <xf numFmtId="0" fontId="8" fillId="6" borderId="9" xfId="15" applyNumberFormat="1" applyFont="1" applyFill="1" applyBorder="1" applyAlignment="1" applyProtection="1">
      <alignment horizontal="center" vertical="center"/>
    </xf>
    <xf numFmtId="0" fontId="22" fillId="0" borderId="26" xfId="0" applyFont="1" applyBorder="1" applyAlignment="1">
      <alignment horizontal="left" vertical="center"/>
    </xf>
    <xf numFmtId="0" fontId="22" fillId="0" borderId="0" xfId="0" applyFont="1" applyAlignment="1">
      <alignment horizontal="left" vertical="center"/>
    </xf>
    <xf numFmtId="0" fontId="22" fillId="0" borderId="23" xfId="0" applyFont="1" applyBorder="1" applyAlignment="1">
      <alignment horizontal="left" vertical="center"/>
    </xf>
    <xf numFmtId="1" fontId="22" fillId="0" borderId="0" xfId="0" applyNumberFormat="1" applyFont="1" applyAlignment="1">
      <alignment horizontal="left" vertical="center"/>
    </xf>
    <xf numFmtId="1" fontId="22" fillId="0" borderId="34" xfId="0" applyNumberFormat="1" applyFont="1" applyBorder="1" applyAlignment="1">
      <alignment horizontal="left" vertical="center"/>
    </xf>
    <xf numFmtId="174" fontId="8" fillId="2" borderId="0" xfId="0" applyNumberFormat="1" applyFont="1" applyFill="1" applyAlignment="1">
      <alignment horizontal="left" vertical="center"/>
    </xf>
    <xf numFmtId="174" fontId="8" fillId="0" borderId="0" xfId="0" applyNumberFormat="1" applyFont="1" applyAlignment="1">
      <alignment horizontal="left" vertical="center"/>
    </xf>
    <xf numFmtId="0" fontId="8" fillId="0" borderId="18" xfId="0" applyFont="1" applyBorder="1" applyAlignment="1">
      <alignment vertical="center" wrapText="1"/>
    </xf>
    <xf numFmtId="0" fontId="9" fillId="0" borderId="18" xfId="0" applyFont="1" applyBorder="1" applyAlignment="1">
      <alignment horizontal="right" vertical="center"/>
    </xf>
    <xf numFmtId="170" fontId="8" fillId="8" borderId="12" xfId="0" applyNumberFormat="1" applyFont="1" applyFill="1" applyBorder="1" applyAlignment="1">
      <alignment horizontal="center" vertical="center"/>
    </xf>
    <xf numFmtId="170" fontId="8" fillId="0" borderId="34" xfId="0" applyNumberFormat="1" applyFont="1" applyBorder="1" applyAlignment="1">
      <alignment horizontal="center" vertical="center"/>
    </xf>
    <xf numFmtId="170" fontId="9" fillId="0" borderId="0" xfId="0" applyNumberFormat="1" applyFont="1" applyAlignment="1">
      <alignment horizontal="center" vertical="center"/>
    </xf>
    <xf numFmtId="2" fontId="8" fillId="0" borderId="4" xfId="15" applyNumberFormat="1" applyFont="1" applyFill="1" applyBorder="1" applyAlignment="1" applyProtection="1">
      <alignment horizontal="center" vertical="center"/>
    </xf>
    <xf numFmtId="0" fontId="8" fillId="0" borderId="4" xfId="15" applyNumberFormat="1" applyFont="1" applyFill="1" applyBorder="1" applyAlignment="1" applyProtection="1">
      <alignment horizontal="center" vertical="center"/>
    </xf>
    <xf numFmtId="6" fontId="27" fillId="12" borderId="4" xfId="0" applyNumberFormat="1" applyFont="1" applyFill="1" applyBorder="1" applyAlignment="1">
      <alignment horizontal="center" vertical="center"/>
    </xf>
    <xf numFmtId="1" fontId="8" fillId="0" borderId="4" xfId="0" applyNumberFormat="1" applyFont="1" applyBorder="1" applyAlignment="1">
      <alignment horizontal="center" vertical="center"/>
    </xf>
    <xf numFmtId="0" fontId="8" fillId="0" borderId="17" xfId="0" applyFont="1" applyBorder="1" applyAlignment="1">
      <alignment horizontal="left" vertical="center"/>
    </xf>
    <xf numFmtId="0" fontId="9" fillId="0" borderId="18" xfId="0" applyFont="1" applyBorder="1" applyAlignment="1">
      <alignment horizontal="left" vertical="center" wrapText="1"/>
    </xf>
    <xf numFmtId="173" fontId="9" fillId="0" borderId="76" xfId="0" applyNumberFormat="1" applyFont="1" applyBorder="1" applyAlignment="1">
      <alignment horizontal="left" vertical="center" wrapText="1"/>
    </xf>
    <xf numFmtId="0" fontId="8" fillId="0" borderId="19" xfId="0" applyFont="1" applyBorder="1" applyAlignment="1">
      <alignment horizontal="left" vertical="center"/>
    </xf>
    <xf numFmtId="2" fontId="8" fillId="2" borderId="0" xfId="0" applyNumberFormat="1" applyFont="1" applyFill="1" applyAlignment="1">
      <alignment vertical="center"/>
    </xf>
    <xf numFmtId="177" fontId="8" fillId="2" borderId="4" xfId="0" applyNumberFormat="1" applyFont="1" applyFill="1" applyBorder="1" applyAlignment="1">
      <alignment horizontal="center" vertical="center"/>
    </xf>
    <xf numFmtId="177" fontId="8" fillId="0" borderId="5" xfId="0" applyNumberFormat="1" applyFont="1" applyBorder="1" applyAlignment="1">
      <alignment horizontal="center" vertical="center"/>
    </xf>
    <xf numFmtId="177" fontId="8" fillId="0" borderId="33" xfId="0" applyNumberFormat="1" applyFont="1" applyBorder="1" applyAlignment="1">
      <alignment horizontal="center" vertical="center"/>
    </xf>
    <xf numFmtId="0" fontId="8" fillId="0" borderId="3" xfId="0" applyFont="1" applyBorder="1" applyAlignment="1">
      <alignment horizontal="left" vertical="center" wrapText="1"/>
    </xf>
    <xf numFmtId="0" fontId="8" fillId="0" borderId="1" xfId="0" applyFont="1" applyBorder="1" applyAlignment="1">
      <alignment horizontal="left" vertical="center" wrapText="1"/>
    </xf>
    <xf numFmtId="0" fontId="8" fillId="0" borderId="2" xfId="0" applyFont="1" applyBorder="1" applyAlignment="1">
      <alignment horizontal="left" vertical="center" wrapText="1"/>
    </xf>
    <xf numFmtId="175" fontId="4" fillId="2" borderId="4" xfId="20" applyNumberFormat="1" applyFont="1" applyFill="1" applyBorder="1" applyAlignment="1">
      <alignment vertical="center"/>
    </xf>
    <xf numFmtId="0" fontId="33" fillId="14" borderId="0" xfId="0" applyFont="1" applyFill="1" applyAlignment="1">
      <alignment horizontal="centerContinuous" vertical="center"/>
    </xf>
    <xf numFmtId="0" fontId="0" fillId="14" borderId="0" xfId="0" applyFill="1" applyAlignment="1">
      <alignment horizontal="centerContinuous" vertical="center"/>
    </xf>
    <xf numFmtId="0" fontId="0" fillId="14" borderId="0" xfId="0" applyFill="1"/>
    <xf numFmtId="0" fontId="0" fillId="8" borderId="0" xfId="0" applyFill="1"/>
    <xf numFmtId="0" fontId="33" fillId="13" borderId="0" xfId="0" applyFont="1" applyFill="1" applyAlignment="1">
      <alignment horizontal="centerContinuous" vertical="center"/>
    </xf>
    <xf numFmtId="0" fontId="32" fillId="13" borderId="0" xfId="0" applyFont="1" applyFill="1" applyAlignment="1">
      <alignment horizontal="centerContinuous" vertical="center"/>
    </xf>
    <xf numFmtId="0" fontId="10" fillId="15" borderId="4" xfId="0" applyFont="1" applyFill="1" applyBorder="1" applyAlignment="1">
      <alignment horizontal="centerContinuous" vertical="center"/>
    </xf>
    <xf numFmtId="0" fontId="4" fillId="2" borderId="0" xfId="0" applyFont="1" applyFill="1" applyAlignment="1">
      <alignment horizontal="center" vertical="center"/>
    </xf>
    <xf numFmtId="0" fontId="4" fillId="2" borderId="0" xfId="0" applyFont="1" applyFill="1" applyAlignment="1">
      <alignment horizontal="centerContinuous" vertical="center"/>
    </xf>
    <xf numFmtId="0" fontId="4" fillId="15" borderId="4" xfId="0" applyFont="1" applyFill="1" applyBorder="1" applyAlignment="1">
      <alignment horizontal="centerContinuous" vertical="center"/>
    </xf>
    <xf numFmtId="0" fontId="32" fillId="15" borderId="4" xfId="0" applyFont="1" applyFill="1" applyBorder="1" applyAlignment="1">
      <alignment horizontal="centerContinuous" vertical="center"/>
    </xf>
    <xf numFmtId="0" fontId="4" fillId="15" borderId="2" xfId="0" applyFont="1" applyFill="1" applyBorder="1" applyAlignment="1">
      <alignment horizontal="centerContinuous" vertical="center"/>
    </xf>
    <xf numFmtId="0" fontId="32" fillId="19" borderId="4" xfId="0" applyFont="1" applyFill="1" applyBorder="1" applyAlignment="1">
      <alignment horizontal="centerContinuous" vertical="center"/>
    </xf>
    <xf numFmtId="0" fontId="4" fillId="19" borderId="4" xfId="0" applyFont="1" applyFill="1" applyBorder="1" applyAlignment="1">
      <alignment horizontal="centerContinuous" vertical="center"/>
    </xf>
    <xf numFmtId="0" fontId="34" fillId="2" borderId="4" xfId="0" applyFont="1" applyFill="1" applyBorder="1" applyAlignment="1">
      <alignment horizontal="left" vertical="center"/>
    </xf>
    <xf numFmtId="0" fontId="9" fillId="2" borderId="4" xfId="0" applyFont="1" applyFill="1" applyBorder="1" applyAlignment="1">
      <alignment horizontal="left" vertical="center"/>
    </xf>
    <xf numFmtId="0" fontId="9" fillId="15" borderId="4" xfId="0" applyFont="1" applyFill="1" applyBorder="1" applyAlignment="1">
      <alignment horizontal="center" vertical="center"/>
    </xf>
    <xf numFmtId="169" fontId="9" fillId="0" borderId="2" xfId="0" applyNumberFormat="1" applyFont="1" applyBorder="1" applyAlignment="1">
      <alignment horizontal="center" vertical="center"/>
    </xf>
    <xf numFmtId="0" fontId="9" fillId="2" borderId="4" xfId="0" applyFont="1" applyFill="1" applyBorder="1" applyAlignment="1">
      <alignment horizontal="left" vertical="center" wrapText="1"/>
    </xf>
    <xf numFmtId="0" fontId="34" fillId="0" borderId="4" xfId="0" applyFont="1" applyBorder="1" applyAlignment="1">
      <alignment horizontal="left" vertical="center"/>
    </xf>
    <xf numFmtId="169" fontId="8" fillId="0" borderId="4" xfId="15" applyNumberFormat="1" applyFont="1" applyFill="1" applyBorder="1" applyAlignment="1" applyProtection="1">
      <alignment horizontal="left" vertical="center"/>
    </xf>
    <xf numFmtId="169" fontId="9" fillId="0" borderId="1" xfId="0" applyNumberFormat="1" applyFont="1" applyBorder="1" applyAlignment="1">
      <alignment horizontal="center" vertical="center"/>
    </xf>
    <xf numFmtId="0" fontId="34" fillId="0" borderId="0" xfId="0" applyFont="1" applyAlignment="1">
      <alignment horizontal="left" vertical="center"/>
    </xf>
    <xf numFmtId="0" fontId="26" fillId="16" borderId="0" xfId="0" applyFont="1" applyFill="1"/>
    <xf numFmtId="0" fontId="0" fillId="16" borderId="0" xfId="0" applyFill="1"/>
    <xf numFmtId="0" fontId="9" fillId="2" borderId="4" xfId="0" applyFont="1" applyFill="1" applyBorder="1" applyAlignment="1">
      <alignment horizontal="centerContinuous" vertical="center"/>
    </xf>
    <xf numFmtId="0" fontId="8" fillId="0" borderId="4" xfId="0" applyFont="1" applyBorder="1" applyAlignment="1">
      <alignment vertical="center"/>
    </xf>
    <xf numFmtId="169" fontId="9" fillId="0" borderId="4" xfId="0" applyNumberFormat="1" applyFont="1" applyBorder="1" applyAlignment="1">
      <alignment horizontal="center" vertical="center"/>
    </xf>
    <xf numFmtId="169" fontId="9" fillId="2" borderId="2" xfId="0" applyNumberFormat="1" applyFont="1" applyFill="1" applyBorder="1" applyAlignment="1">
      <alignment horizontal="center" vertical="center"/>
    </xf>
    <xf numFmtId="0" fontId="8" fillId="16" borderId="0" xfId="0" applyFont="1" applyFill="1" applyAlignment="1">
      <alignment vertical="center"/>
    </xf>
    <xf numFmtId="169" fontId="8" fillId="16" borderId="0" xfId="15" applyNumberFormat="1" applyFont="1" applyFill="1" applyBorder="1" applyAlignment="1" applyProtection="1">
      <alignment horizontal="center" vertical="center"/>
    </xf>
    <xf numFmtId="0" fontId="9" fillId="15" borderId="4" xfId="0" applyFont="1" applyFill="1" applyBorder="1" applyAlignment="1">
      <alignment horizontal="centerContinuous" vertical="center"/>
    </xf>
    <xf numFmtId="0" fontId="0" fillId="0" borderId="72" xfId="0" applyBorder="1"/>
    <xf numFmtId="0" fontId="26" fillId="0" borderId="72" xfId="0" applyFont="1" applyBorder="1"/>
    <xf numFmtId="0" fontId="26" fillId="0" borderId="0" xfId="0" applyFont="1"/>
    <xf numFmtId="0" fontId="8" fillId="2" borderId="4" xfId="0" applyFont="1" applyFill="1" applyBorder="1" applyAlignment="1">
      <alignment horizontal="left" vertical="center"/>
    </xf>
    <xf numFmtId="0" fontId="8" fillId="2" borderId="4" xfId="0" applyFont="1" applyFill="1" applyBorder="1" applyAlignment="1">
      <alignment horizontal="left" vertical="center" wrapText="1"/>
    </xf>
    <xf numFmtId="0" fontId="8" fillId="6" borderId="0" xfId="0" applyFont="1" applyFill="1" applyAlignment="1">
      <alignment horizontal="center" vertical="center"/>
    </xf>
    <xf numFmtId="0" fontId="9" fillId="15" borderId="4" xfId="0" applyFont="1" applyFill="1" applyBorder="1" applyAlignment="1">
      <alignment horizontal="center" vertical="center" wrapText="1"/>
    </xf>
    <xf numFmtId="169" fontId="8" fillId="0" borderId="4" xfId="15" applyNumberFormat="1" applyFont="1" applyFill="1" applyBorder="1" applyAlignment="1" applyProtection="1">
      <alignment horizontal="center" vertical="center"/>
    </xf>
    <xf numFmtId="0" fontId="13" fillId="2" borderId="0" xfId="0" applyFont="1" applyFill="1" applyAlignment="1">
      <alignment vertical="center" wrapText="1"/>
    </xf>
    <xf numFmtId="0" fontId="13" fillId="2" borderId="0" xfId="0" applyFont="1" applyFill="1" applyAlignment="1">
      <alignment vertical="center"/>
    </xf>
    <xf numFmtId="0" fontId="13" fillId="2" borderId="0" xfId="0" applyFont="1" applyFill="1" applyAlignment="1">
      <alignment horizontal="left" vertical="center"/>
    </xf>
    <xf numFmtId="0" fontId="14" fillId="2" borderId="4" xfId="0" applyFont="1" applyFill="1" applyBorder="1" applyAlignment="1">
      <alignment horizontal="center" vertical="center"/>
    </xf>
    <xf numFmtId="0" fontId="13" fillId="2" borderId="4" xfId="0" applyFont="1" applyFill="1" applyBorder="1" applyAlignment="1">
      <alignment horizontal="center" vertical="center"/>
    </xf>
    <xf numFmtId="0" fontId="13" fillId="2" borderId="4" xfId="0" applyFont="1" applyFill="1" applyBorder="1" applyAlignment="1">
      <alignment horizontal="center" vertical="center" wrapText="1"/>
    </xf>
    <xf numFmtId="0" fontId="13" fillId="2" borderId="0" xfId="0" applyFont="1" applyFill="1" applyAlignment="1">
      <alignment horizontal="right" vertical="center"/>
    </xf>
    <xf numFmtId="165" fontId="14" fillId="2" borderId="4" xfId="10" applyNumberFormat="1" applyFont="1" applyFill="1" applyBorder="1" applyAlignment="1">
      <alignment horizontal="center" vertical="center" wrapText="1"/>
    </xf>
    <xf numFmtId="1" fontId="13" fillId="2" borderId="4" xfId="0" applyNumberFormat="1" applyFont="1" applyFill="1" applyBorder="1" applyAlignment="1">
      <alignment horizontal="center" vertical="center"/>
    </xf>
    <xf numFmtId="1" fontId="13" fillId="0" borderId="4" xfId="0" applyNumberFormat="1" applyFont="1" applyBorder="1" applyAlignment="1">
      <alignment horizontal="center" vertical="center"/>
    </xf>
    <xf numFmtId="0" fontId="25" fillId="2" borderId="0" xfId="0" applyFont="1" applyFill="1" applyAlignment="1">
      <alignment vertical="center"/>
    </xf>
    <xf numFmtId="0" fontId="15" fillId="2" borderId="0" xfId="10" applyFont="1" applyFill="1" applyAlignment="1">
      <alignment wrapText="1"/>
    </xf>
    <xf numFmtId="0" fontId="16" fillId="15" borderId="22" xfId="10" applyFont="1" applyFill="1" applyBorder="1" applyAlignment="1">
      <alignment horizontal="center" vertical="center" wrapText="1"/>
    </xf>
    <xf numFmtId="0" fontId="16" fillId="3" borderId="59" xfId="10" applyFont="1" applyFill="1" applyBorder="1" applyAlignment="1">
      <alignment horizontal="center" vertical="center" wrapText="1"/>
    </xf>
    <xf numFmtId="0" fontId="16" fillId="3" borderId="22" xfId="10" applyFont="1" applyFill="1" applyBorder="1" applyAlignment="1">
      <alignment horizontal="center" vertical="center" wrapText="1"/>
    </xf>
    <xf numFmtId="165" fontId="14" fillId="2" borderId="9" xfId="10" applyNumberFormat="1" applyFont="1" applyFill="1" applyBorder="1" applyAlignment="1">
      <alignment horizontal="center" vertical="center" wrapText="1"/>
    </xf>
    <xf numFmtId="165" fontId="14" fillId="2" borderId="65" xfId="10" applyNumberFormat="1" applyFont="1" applyFill="1" applyBorder="1" applyAlignment="1">
      <alignment horizontal="center" vertical="center" wrapText="1"/>
    </xf>
    <xf numFmtId="165" fontId="14" fillId="2" borderId="28" xfId="10" applyNumberFormat="1" applyFont="1" applyFill="1" applyBorder="1" applyAlignment="1">
      <alignment horizontal="center" vertical="center" wrapText="1"/>
    </xf>
    <xf numFmtId="165" fontId="14" fillId="2" borderId="21" xfId="10" applyNumberFormat="1" applyFont="1" applyFill="1" applyBorder="1" applyAlignment="1">
      <alignment horizontal="center" vertical="center" wrapText="1"/>
    </xf>
    <xf numFmtId="0" fontId="15" fillId="0" borderId="5" xfId="10" applyFont="1" applyBorder="1" applyAlignment="1">
      <alignment horizontal="center" vertical="center"/>
    </xf>
    <xf numFmtId="0" fontId="18" fillId="0" borderId="54" xfId="10" applyFont="1" applyBorder="1" applyAlignment="1">
      <alignment horizontal="center" vertical="center"/>
    </xf>
    <xf numFmtId="0" fontId="15" fillId="0" borderId="52" xfId="10" applyFont="1" applyBorder="1" applyAlignment="1">
      <alignment horizontal="center" vertical="center"/>
    </xf>
    <xf numFmtId="0" fontId="15" fillId="0" borderId="60" xfId="10" applyFont="1" applyBorder="1" applyAlignment="1">
      <alignment horizontal="center" vertical="center"/>
    </xf>
    <xf numFmtId="0" fontId="18" fillId="0" borderId="24" xfId="10" applyFont="1" applyBorder="1" applyAlignment="1">
      <alignment horizontal="center" vertical="center"/>
    </xf>
    <xf numFmtId="0" fontId="15" fillId="0" borderId="33" xfId="10" applyFont="1" applyBorder="1" applyAlignment="1">
      <alignment horizontal="center" vertical="center"/>
    </xf>
    <xf numFmtId="0" fontId="15" fillId="0" borderId="31" xfId="10" applyFont="1" applyBorder="1" applyAlignment="1">
      <alignment horizontal="center" vertical="center"/>
    </xf>
    <xf numFmtId="0" fontId="15" fillId="0" borderId="4" xfId="10" applyFont="1" applyBorder="1" applyAlignment="1">
      <alignment horizontal="center" vertical="center"/>
    </xf>
    <xf numFmtId="0" fontId="18" fillId="0" borderId="1" xfId="10" applyFont="1" applyBorder="1" applyAlignment="1">
      <alignment horizontal="center" vertical="center"/>
    </xf>
    <xf numFmtId="0" fontId="15" fillId="0" borderId="74" xfId="10" applyFont="1" applyBorder="1" applyAlignment="1">
      <alignment horizontal="center" vertical="center"/>
    </xf>
    <xf numFmtId="0" fontId="15" fillId="0" borderId="37" xfId="10" applyFont="1" applyBorder="1" applyAlignment="1">
      <alignment horizontal="center" vertical="center"/>
    </xf>
    <xf numFmtId="0" fontId="15" fillId="0" borderId="58" xfId="10" applyFont="1" applyBorder="1" applyAlignment="1">
      <alignment horizontal="center" vertical="center"/>
    </xf>
    <xf numFmtId="0" fontId="15" fillId="5" borderId="64" xfId="10" applyFont="1" applyFill="1" applyBorder="1" applyAlignment="1">
      <alignment horizontal="center" vertical="center" wrapText="1"/>
    </xf>
    <xf numFmtId="0" fontId="15" fillId="5" borderId="9" xfId="10" applyFont="1" applyFill="1" applyBorder="1" applyAlignment="1">
      <alignment horizontal="center" vertical="center" wrapText="1"/>
    </xf>
    <xf numFmtId="0" fontId="15" fillId="5" borderId="10" xfId="10" applyFont="1" applyFill="1" applyBorder="1" applyAlignment="1">
      <alignment horizontal="center" vertical="center" wrapText="1"/>
    </xf>
    <xf numFmtId="0" fontId="15" fillId="5" borderId="8" xfId="10" applyFont="1" applyFill="1" applyBorder="1" applyAlignment="1">
      <alignment horizontal="center" vertical="center" wrapText="1"/>
    </xf>
    <xf numFmtId="0" fontId="17" fillId="5" borderId="16" xfId="10" applyFont="1" applyFill="1" applyBorder="1" applyAlignment="1">
      <alignment vertical="center"/>
    </xf>
    <xf numFmtId="0" fontId="17" fillId="5" borderId="10" xfId="10" applyFont="1" applyFill="1" applyBorder="1" applyAlignment="1">
      <alignment vertical="center"/>
    </xf>
    <xf numFmtId="0" fontId="17" fillId="5" borderId="9" xfId="10" applyFont="1" applyFill="1" applyBorder="1" applyAlignment="1">
      <alignment vertical="center"/>
    </xf>
    <xf numFmtId="0" fontId="15" fillId="5" borderId="9" xfId="10" applyFont="1" applyFill="1" applyBorder="1" applyAlignment="1">
      <alignment horizontal="center" vertical="center"/>
    </xf>
    <xf numFmtId="165" fontId="18" fillId="5" borderId="9" xfId="10" applyNumberFormat="1" applyFont="1" applyFill="1" applyBorder="1" applyAlignment="1">
      <alignment horizontal="center" vertical="center"/>
    </xf>
    <xf numFmtId="0" fontId="15" fillId="5" borderId="16" xfId="10" applyFont="1" applyFill="1" applyBorder="1" applyAlignment="1">
      <alignment horizontal="center" vertical="center"/>
    </xf>
    <xf numFmtId="165" fontId="15" fillId="5" borderId="10" xfId="10" applyNumberFormat="1" applyFont="1" applyFill="1" applyBorder="1" applyAlignment="1">
      <alignment horizontal="center" vertical="center"/>
    </xf>
    <xf numFmtId="0" fontId="18" fillId="5" borderId="8" xfId="10" applyFont="1" applyFill="1" applyBorder="1" applyAlignment="1">
      <alignment horizontal="center" vertical="center"/>
    </xf>
    <xf numFmtId="0" fontId="18" fillId="5" borderId="9" xfId="10" applyFont="1" applyFill="1" applyBorder="1" applyAlignment="1">
      <alignment horizontal="center" vertical="center"/>
    </xf>
    <xf numFmtId="0" fontId="18" fillId="5" borderId="65" xfId="10" applyFont="1" applyFill="1" applyBorder="1" applyAlignment="1">
      <alignment horizontal="center" vertical="center"/>
    </xf>
    <xf numFmtId="0" fontId="18" fillId="5" borderId="72" xfId="10" applyFont="1" applyFill="1" applyBorder="1" applyAlignment="1">
      <alignment horizontal="center" vertical="center"/>
    </xf>
    <xf numFmtId="0" fontId="18" fillId="5" borderId="50" xfId="10" applyFont="1" applyFill="1" applyBorder="1" applyAlignment="1">
      <alignment horizontal="center" vertical="center"/>
    </xf>
    <xf numFmtId="0" fontId="15" fillId="5" borderId="51" xfId="10" applyFont="1" applyFill="1" applyBorder="1" applyAlignment="1">
      <alignment horizontal="left" vertical="center"/>
    </xf>
    <xf numFmtId="0" fontId="15" fillId="5" borderId="23" xfId="10" applyFont="1" applyFill="1" applyBorder="1" applyAlignment="1">
      <alignment horizontal="left" vertical="center"/>
    </xf>
    <xf numFmtId="0" fontId="15" fillId="5" borderId="39" xfId="10" applyFont="1" applyFill="1" applyBorder="1" applyAlignment="1">
      <alignment horizontal="left" vertical="center"/>
    </xf>
    <xf numFmtId="0" fontId="18" fillId="5" borderId="10" xfId="10" applyFont="1" applyFill="1" applyBorder="1" applyAlignment="1">
      <alignment horizontal="center" vertical="center"/>
    </xf>
    <xf numFmtId="0" fontId="15" fillId="5" borderId="10" xfId="10" applyFont="1" applyFill="1" applyBorder="1" applyAlignment="1">
      <alignment horizontal="left" vertical="center"/>
    </xf>
    <xf numFmtId="0" fontId="15" fillId="5" borderId="47" xfId="10" applyFont="1" applyFill="1" applyBorder="1" applyAlignment="1">
      <alignment horizontal="left" vertical="center"/>
    </xf>
    <xf numFmtId="0" fontId="16" fillId="3" borderId="27" xfId="10" applyFont="1" applyFill="1" applyBorder="1" applyAlignment="1">
      <alignment horizontal="center" vertical="center" wrapText="1"/>
    </xf>
    <xf numFmtId="0" fontId="16" fillId="3" borderId="23" xfId="10" applyFont="1" applyFill="1" applyBorder="1" applyAlignment="1">
      <alignment horizontal="center" vertical="center" wrapText="1"/>
    </xf>
    <xf numFmtId="0" fontId="16" fillId="3" borderId="18" xfId="0" applyFont="1" applyFill="1" applyBorder="1" applyAlignment="1">
      <alignment vertical="center"/>
    </xf>
    <xf numFmtId="0" fontId="16" fillId="3" borderId="38" xfId="0" applyFont="1" applyFill="1" applyBorder="1" applyAlignment="1">
      <alignment horizontal="center" vertical="center"/>
    </xf>
    <xf numFmtId="165" fontId="16" fillId="3" borderId="12" xfId="0" applyNumberFormat="1" applyFont="1" applyFill="1" applyBorder="1" applyAlignment="1">
      <alignment horizontal="center" vertical="center"/>
    </xf>
    <xf numFmtId="0" fontId="16" fillId="3" borderId="18" xfId="0" applyFont="1" applyFill="1" applyBorder="1" applyAlignment="1">
      <alignment horizontal="center" vertical="center"/>
    </xf>
    <xf numFmtId="165" fontId="16" fillId="3" borderId="18" xfId="0" applyNumberFormat="1" applyFont="1" applyFill="1" applyBorder="1" applyAlignment="1">
      <alignment horizontal="center" vertical="center"/>
    </xf>
    <xf numFmtId="1" fontId="16" fillId="3" borderId="12" xfId="0" applyNumberFormat="1" applyFont="1" applyFill="1" applyBorder="1" applyAlignment="1">
      <alignment horizontal="center" vertical="center"/>
    </xf>
    <xf numFmtId="0" fontId="9" fillId="2" borderId="0" xfId="0" applyFont="1" applyFill="1" applyAlignment="1">
      <alignment vertical="center"/>
    </xf>
    <xf numFmtId="169" fontId="9" fillId="2" borderId="4" xfId="0" applyNumberFormat="1" applyFont="1" applyFill="1" applyBorder="1" applyAlignment="1">
      <alignment vertical="center"/>
    </xf>
    <xf numFmtId="0" fontId="10" fillId="3" borderId="11" xfId="0" applyFont="1" applyFill="1" applyBorder="1" applyAlignment="1">
      <alignment horizontal="center" vertical="center" wrapText="1"/>
    </xf>
    <xf numFmtId="0" fontId="10" fillId="3" borderId="12" xfId="0" applyFont="1" applyFill="1" applyBorder="1" applyAlignment="1">
      <alignment horizontal="center" vertical="center" wrapText="1"/>
    </xf>
    <xf numFmtId="0" fontId="10" fillId="3" borderId="12" xfId="0" applyFont="1" applyFill="1" applyBorder="1" applyAlignment="1">
      <alignment horizontal="center" vertical="center"/>
    </xf>
    <xf numFmtId="0" fontId="9" fillId="2" borderId="53" xfId="0" applyFont="1" applyFill="1" applyBorder="1" applyAlignment="1">
      <alignment horizontal="left" vertical="center"/>
    </xf>
    <xf numFmtId="0" fontId="9" fillId="2" borderId="54" xfId="0" applyFont="1" applyFill="1" applyBorder="1" applyAlignment="1">
      <alignment vertical="center" wrapText="1"/>
    </xf>
    <xf numFmtId="0" fontId="8" fillId="2" borderId="16" xfId="0" applyFont="1" applyFill="1" applyBorder="1" applyAlignment="1">
      <alignment horizontal="center" vertical="center"/>
    </xf>
    <xf numFmtId="169" fontId="8" fillId="0" borderId="4" xfId="0" applyNumberFormat="1" applyFont="1" applyBorder="1" applyAlignment="1">
      <alignment horizontal="center" vertical="center"/>
    </xf>
    <xf numFmtId="169" fontId="8" fillId="2" borderId="4" xfId="0" applyNumberFormat="1" applyFont="1" applyFill="1" applyBorder="1" applyAlignment="1">
      <alignment vertical="center"/>
    </xf>
    <xf numFmtId="169" fontId="8" fillId="8" borderId="3" xfId="0" applyNumberFormat="1" applyFont="1" applyFill="1" applyBorder="1" applyAlignment="1">
      <alignment vertical="center"/>
    </xf>
    <xf numFmtId="169" fontId="8" fillId="8" borderId="10" xfId="0" applyNumberFormat="1" applyFont="1" applyFill="1" applyBorder="1" applyAlignment="1">
      <alignment vertical="center"/>
    </xf>
    <xf numFmtId="169" fontId="8" fillId="8" borderId="47" xfId="0" applyNumberFormat="1" applyFont="1" applyFill="1" applyBorder="1" applyAlignment="1">
      <alignment horizontal="center" vertical="center"/>
    </xf>
    <xf numFmtId="0" fontId="9" fillId="2" borderId="53" xfId="0" applyFont="1" applyFill="1" applyBorder="1" applyAlignment="1">
      <alignment vertical="center"/>
    </xf>
    <xf numFmtId="0" fontId="9" fillId="2" borderId="54" xfId="0" applyFont="1" applyFill="1" applyBorder="1" applyAlignment="1">
      <alignment vertical="center"/>
    </xf>
    <xf numFmtId="0" fontId="9" fillId="2" borderId="60" xfId="0" applyFont="1" applyFill="1" applyBorder="1" applyAlignment="1">
      <alignment vertical="center"/>
    </xf>
    <xf numFmtId="169" fontId="8" fillId="0" borderId="4" xfId="0" applyNumberFormat="1" applyFont="1" applyBorder="1" applyAlignment="1">
      <alignment vertical="center"/>
    </xf>
    <xf numFmtId="169" fontId="8" fillId="0" borderId="4" xfId="0" applyNumberFormat="1" applyFont="1" applyBorder="1" applyAlignment="1">
      <alignment horizontal="right" vertical="center"/>
    </xf>
    <xf numFmtId="9" fontId="8" fillId="0" borderId="4" xfId="12" applyFont="1" applyFill="1" applyBorder="1" applyAlignment="1" applyProtection="1">
      <alignment horizontal="center" vertical="center"/>
    </xf>
    <xf numFmtId="0" fontId="8" fillId="2" borderId="28" xfId="0" applyFont="1" applyFill="1" applyBorder="1" applyAlignment="1">
      <alignment vertical="center"/>
    </xf>
    <xf numFmtId="169" fontId="8" fillId="0" borderId="21" xfId="0" applyNumberFormat="1" applyFont="1" applyBorder="1" applyAlignment="1">
      <alignment vertical="center"/>
    </xf>
    <xf numFmtId="1" fontId="9" fillId="2" borderId="36" xfId="0" applyNumberFormat="1" applyFont="1" applyFill="1" applyBorder="1" applyAlignment="1">
      <alignment horizontal="center" vertical="center"/>
    </xf>
    <xf numFmtId="0" fontId="9" fillId="2" borderId="16" xfId="0" applyFont="1" applyFill="1" applyBorder="1" applyAlignment="1">
      <alignment vertical="center"/>
    </xf>
    <xf numFmtId="0" fontId="9" fillId="2" borderId="36" xfId="0" applyFont="1" applyFill="1" applyBorder="1" applyAlignment="1">
      <alignment horizontal="center" vertical="center"/>
    </xf>
    <xf numFmtId="0" fontId="9" fillId="0" borderId="36" xfId="0" applyFont="1" applyBorder="1" applyAlignment="1">
      <alignment horizontal="center" vertical="center"/>
    </xf>
    <xf numFmtId="169" fontId="9" fillId="2" borderId="36" xfId="0" applyNumberFormat="1" applyFont="1" applyFill="1" applyBorder="1" applyAlignment="1">
      <alignment vertical="center"/>
    </xf>
    <xf numFmtId="169" fontId="9" fillId="2" borderId="9" xfId="0" applyNumberFormat="1" applyFont="1" applyFill="1" applyBorder="1" applyAlignment="1">
      <alignment vertical="center"/>
    </xf>
    <xf numFmtId="0" fontId="9" fillId="2" borderId="0" xfId="0" applyFont="1" applyFill="1" applyAlignment="1">
      <alignment horizontal="center" vertical="center"/>
    </xf>
    <xf numFmtId="169" fontId="9" fillId="2" borderId="0" xfId="0" applyNumberFormat="1" applyFont="1" applyFill="1" applyAlignment="1">
      <alignment vertical="center"/>
    </xf>
    <xf numFmtId="0" fontId="10" fillId="3" borderId="30" xfId="0" applyFont="1" applyFill="1" applyBorder="1" applyAlignment="1">
      <alignment horizontal="center" vertical="center" wrapText="1"/>
    </xf>
    <xf numFmtId="169" fontId="9" fillId="0" borderId="9" xfId="0" applyNumberFormat="1" applyFont="1" applyBorder="1" applyAlignment="1">
      <alignment vertical="center"/>
    </xf>
    <xf numFmtId="169" fontId="9" fillId="0" borderId="36" xfId="0" applyNumberFormat="1" applyFont="1" applyBorder="1" applyAlignment="1">
      <alignment vertical="center"/>
    </xf>
    <xf numFmtId="0" fontId="8" fillId="12" borderId="0" xfId="0" applyFont="1" applyFill="1" applyAlignment="1">
      <alignment vertical="center"/>
    </xf>
    <xf numFmtId="171" fontId="9" fillId="4" borderId="69" xfId="0" applyNumberFormat="1" applyFont="1" applyFill="1" applyBorder="1" applyAlignment="1">
      <alignment vertical="center"/>
    </xf>
    <xf numFmtId="171" fontId="9" fillId="4" borderId="46" xfId="0" applyNumberFormat="1" applyFont="1" applyFill="1" applyBorder="1" applyAlignment="1">
      <alignment vertical="center"/>
    </xf>
    <xf numFmtId="171" fontId="9" fillId="4" borderId="0" xfId="0" applyNumberFormat="1" applyFont="1" applyFill="1" applyAlignment="1">
      <alignment vertical="center"/>
    </xf>
    <xf numFmtId="171" fontId="9" fillId="4" borderId="71" xfId="0" applyNumberFormat="1" applyFont="1" applyFill="1" applyBorder="1" applyAlignment="1">
      <alignment vertical="center"/>
    </xf>
    <xf numFmtId="9" fontId="9" fillId="2" borderId="0" xfId="0" applyNumberFormat="1" applyFont="1" applyFill="1" applyAlignment="1">
      <alignment horizontal="center" vertical="center"/>
    </xf>
    <xf numFmtId="0" fontId="8" fillId="6" borderId="69" xfId="15" applyNumberFormat="1" applyFont="1" applyFill="1" applyBorder="1" applyAlignment="1" applyProtection="1">
      <alignment horizontal="center" vertical="center"/>
    </xf>
    <xf numFmtId="0" fontId="8" fillId="6" borderId="46" xfId="15" applyNumberFormat="1" applyFont="1" applyFill="1" applyBorder="1" applyAlignment="1" applyProtection="1">
      <alignment horizontal="center" vertical="center"/>
    </xf>
    <xf numFmtId="170" fontId="8" fillId="0" borderId="71" xfId="0" applyNumberFormat="1" applyFont="1" applyBorder="1" applyAlignment="1">
      <alignment horizontal="center" vertical="center"/>
    </xf>
    <xf numFmtId="0" fontId="9" fillId="2" borderId="49" xfId="0" applyFont="1" applyFill="1" applyBorder="1" applyAlignment="1">
      <alignment vertical="center"/>
    </xf>
    <xf numFmtId="172" fontId="9" fillId="0" borderId="60" xfId="0" applyNumberFormat="1" applyFont="1" applyBorder="1" applyAlignment="1">
      <alignment horizontal="center" vertical="center" wrapText="1"/>
    </xf>
    <xf numFmtId="170" fontId="9" fillId="4" borderId="32" xfId="0" applyNumberFormat="1" applyFont="1" applyFill="1" applyBorder="1" applyAlignment="1">
      <alignment horizontal="right" vertical="center"/>
    </xf>
    <xf numFmtId="49" fontId="8" fillId="0" borderId="40" xfId="0" applyNumberFormat="1" applyFont="1" applyBorder="1" applyAlignment="1">
      <alignment vertical="center"/>
    </xf>
    <xf numFmtId="49" fontId="8" fillId="0" borderId="2" xfId="0" applyNumberFormat="1" applyFont="1" applyBorder="1" applyAlignment="1">
      <alignment vertical="center"/>
    </xf>
    <xf numFmtId="49" fontId="8" fillId="0" borderId="16" xfId="0" applyNumberFormat="1" applyFont="1" applyBorder="1" applyAlignment="1">
      <alignment vertical="center"/>
    </xf>
    <xf numFmtId="170" fontId="10" fillId="3" borderId="32" xfId="0" applyNumberFormat="1" applyFont="1" applyFill="1" applyBorder="1" applyAlignment="1">
      <alignment horizontal="center" vertical="center"/>
    </xf>
    <xf numFmtId="0" fontId="9" fillId="0" borderId="24" xfId="0" applyFont="1" applyBorder="1" applyAlignment="1">
      <alignment vertical="center" wrapText="1"/>
    </xf>
    <xf numFmtId="0" fontId="0" fillId="0" borderId="71" xfId="0" applyBorder="1"/>
    <xf numFmtId="0" fontId="8" fillId="2" borderId="11" xfId="0" applyFont="1" applyFill="1" applyBorder="1" applyAlignment="1">
      <alignment vertical="center"/>
    </xf>
    <xf numFmtId="0" fontId="8" fillId="0" borderId="17" xfId="0" applyFont="1" applyBorder="1" applyAlignment="1">
      <alignment vertical="center"/>
    </xf>
    <xf numFmtId="0" fontId="9" fillId="0" borderId="18" xfId="0" applyFont="1" applyBorder="1" applyAlignment="1">
      <alignment vertical="center" wrapText="1"/>
    </xf>
    <xf numFmtId="0" fontId="9" fillId="0" borderId="38" xfId="0" applyFont="1" applyBorder="1" applyAlignment="1">
      <alignment vertical="center" wrapText="1"/>
    </xf>
    <xf numFmtId="170" fontId="8" fillId="12" borderId="32" xfId="0" applyNumberFormat="1" applyFont="1" applyFill="1" applyBorder="1" applyAlignment="1">
      <alignment horizontal="center" vertical="center"/>
    </xf>
    <xf numFmtId="0" fontId="10" fillId="2" borderId="18" xfId="0" applyFont="1" applyFill="1" applyBorder="1" applyAlignment="1">
      <alignment horizontal="left" vertical="center"/>
    </xf>
    <xf numFmtId="0" fontId="10" fillId="2" borderId="18" xfId="0" applyFont="1" applyFill="1" applyBorder="1" applyAlignment="1">
      <alignment horizontal="right" vertical="center"/>
    </xf>
    <xf numFmtId="170" fontId="10" fillId="2" borderId="18" xfId="0" applyNumberFormat="1" applyFont="1" applyFill="1" applyBorder="1" applyAlignment="1">
      <alignment horizontal="center" vertical="center"/>
    </xf>
    <xf numFmtId="0" fontId="13" fillId="0" borderId="1" xfId="9" applyNumberFormat="1" applyFont="1" applyBorder="1" applyAlignment="1" applyProtection="1">
      <alignment horizontal="left" vertical="center"/>
    </xf>
    <xf numFmtId="0" fontId="13" fillId="0" borderId="31" xfId="9" applyNumberFormat="1" applyFont="1" applyBorder="1" applyAlignment="1" applyProtection="1">
      <alignment horizontal="left" vertical="center"/>
    </xf>
    <xf numFmtId="0" fontId="14" fillId="20" borderId="4" xfId="15" applyNumberFormat="1" applyFont="1" applyFill="1" applyBorder="1" applyAlignment="1" applyProtection="1">
      <alignment horizontal="center" vertical="center"/>
      <protection locked="0"/>
    </xf>
    <xf numFmtId="0" fontId="8" fillId="20" borderId="4" xfId="0" applyFont="1" applyFill="1" applyBorder="1" applyAlignment="1" applyProtection="1">
      <alignment horizontal="left" vertical="center"/>
      <protection locked="0"/>
    </xf>
    <xf numFmtId="0" fontId="8" fillId="20" borderId="4" xfId="15" applyNumberFormat="1" applyFont="1" applyFill="1" applyBorder="1" applyAlignment="1" applyProtection="1">
      <alignment horizontal="center" vertical="center"/>
      <protection locked="0"/>
    </xf>
    <xf numFmtId="169" fontId="8" fillId="20" borderId="4" xfId="15" applyNumberFormat="1" applyFont="1" applyFill="1" applyBorder="1" applyAlignment="1" applyProtection="1">
      <alignment horizontal="center" vertical="center"/>
      <protection locked="0"/>
    </xf>
    <xf numFmtId="0" fontId="8" fillId="20" borderId="4" xfId="0" applyFont="1" applyFill="1" applyBorder="1" applyAlignment="1" applyProtection="1">
      <alignment horizontal="center" vertical="center"/>
      <protection locked="0"/>
    </xf>
    <xf numFmtId="0" fontId="8" fillId="20" borderId="3" xfId="0" applyFont="1" applyFill="1" applyBorder="1" applyAlignment="1" applyProtection="1">
      <alignment vertical="center"/>
      <protection locked="0"/>
    </xf>
    <xf numFmtId="0" fontId="0" fillId="2" borderId="72" xfId="0" applyFill="1" applyBorder="1" applyAlignment="1">
      <alignment vertical="center"/>
    </xf>
    <xf numFmtId="0" fontId="4" fillId="2" borderId="3" xfId="0" applyFont="1" applyFill="1" applyBorder="1" applyAlignment="1">
      <alignment vertical="center"/>
    </xf>
    <xf numFmtId="0" fontId="8" fillId="2" borderId="4" xfId="0" applyFont="1" applyFill="1" applyBorder="1" applyAlignment="1">
      <alignment vertical="center"/>
    </xf>
    <xf numFmtId="9" fontId="8" fillId="0" borderId="4" xfId="0" applyNumberFormat="1" applyFont="1" applyBorder="1" applyAlignment="1">
      <alignment vertical="center"/>
    </xf>
    <xf numFmtId="0" fontId="15" fillId="20" borderId="30" xfId="10" applyFont="1" applyFill="1" applyBorder="1" applyAlignment="1" applyProtection="1">
      <alignment horizontal="center" vertical="center"/>
      <protection locked="0"/>
    </xf>
    <xf numFmtId="0" fontId="15" fillId="20" borderId="21" xfId="10" applyFont="1" applyFill="1" applyBorder="1" applyAlignment="1" applyProtection="1">
      <alignment horizontal="center" vertical="center"/>
      <protection locked="0"/>
    </xf>
    <xf numFmtId="0" fontId="15" fillId="20" borderId="4" xfId="10" applyFont="1" applyFill="1" applyBorder="1" applyAlignment="1" applyProtection="1">
      <alignment horizontal="center" vertical="center"/>
      <protection locked="0"/>
    </xf>
    <xf numFmtId="0" fontId="15" fillId="20" borderId="68" xfId="10" applyFont="1" applyFill="1" applyBorder="1" applyAlignment="1" applyProtection="1">
      <alignment horizontal="center" vertical="center"/>
      <protection locked="0"/>
    </xf>
    <xf numFmtId="0" fontId="15" fillId="20" borderId="49" xfId="10" applyFont="1" applyFill="1" applyBorder="1" applyAlignment="1" applyProtection="1">
      <alignment horizontal="center" vertical="center"/>
      <protection locked="0"/>
    </xf>
    <xf numFmtId="0" fontId="15" fillId="20" borderId="22" xfId="10" applyFont="1" applyFill="1" applyBorder="1" applyAlignment="1" applyProtection="1">
      <alignment horizontal="center" vertical="center"/>
      <protection locked="0"/>
    </xf>
    <xf numFmtId="0" fontId="15" fillId="20" borderId="7" xfId="10" applyFont="1" applyFill="1" applyBorder="1" applyAlignment="1" applyProtection="1">
      <alignment horizontal="center" vertical="center"/>
      <protection locked="0"/>
    </xf>
    <xf numFmtId="0" fontId="15" fillId="20" borderId="28" xfId="10" applyFont="1" applyFill="1" applyBorder="1" applyAlignment="1" applyProtection="1">
      <alignment horizontal="center" vertical="center"/>
      <protection locked="0"/>
    </xf>
    <xf numFmtId="0" fontId="15" fillId="20" borderId="59" xfId="10" applyFont="1" applyFill="1" applyBorder="1" applyAlignment="1" applyProtection="1">
      <alignment horizontal="center" vertical="center"/>
      <protection locked="0"/>
    </xf>
    <xf numFmtId="0" fontId="15" fillId="20" borderId="3" xfId="10" applyFont="1" applyFill="1" applyBorder="1" applyAlignment="1" applyProtection="1">
      <alignment horizontal="center" vertical="center"/>
      <protection locked="0"/>
    </xf>
    <xf numFmtId="0" fontId="15" fillId="20" borderId="70" xfId="10" applyFont="1" applyFill="1" applyBorder="1" applyAlignment="1" applyProtection="1">
      <alignment horizontal="center" vertical="center"/>
      <protection locked="0"/>
    </xf>
    <xf numFmtId="0" fontId="13" fillId="20" borderId="7" xfId="10" applyFont="1" applyFill="1" applyBorder="1" applyAlignment="1" applyProtection="1">
      <alignment horizontal="center" vertical="center"/>
      <protection locked="0"/>
    </xf>
    <xf numFmtId="0" fontId="13" fillId="20" borderId="4" xfId="10" applyFont="1" applyFill="1" applyBorder="1" applyAlignment="1" applyProtection="1">
      <alignment horizontal="center" vertical="center"/>
      <protection locked="0"/>
    </xf>
    <xf numFmtId="0" fontId="18" fillId="20" borderId="7" xfId="10" applyFont="1" applyFill="1" applyBorder="1" applyAlignment="1" applyProtection="1">
      <alignment horizontal="center" vertical="center"/>
      <protection locked="0"/>
    </xf>
    <xf numFmtId="0" fontId="13" fillId="20" borderId="21" xfId="10" applyFont="1" applyFill="1" applyBorder="1" applyAlignment="1" applyProtection="1">
      <alignment horizontal="center" vertical="center"/>
      <protection locked="0"/>
    </xf>
    <xf numFmtId="0" fontId="3" fillId="20" borderId="4" xfId="10" applyFill="1" applyBorder="1" applyAlignment="1" applyProtection="1">
      <alignment horizontal="center" vertical="center"/>
      <protection locked="0"/>
    </xf>
    <xf numFmtId="0" fontId="15" fillId="20" borderId="7" xfId="10" applyFont="1" applyFill="1" applyBorder="1" applyAlignment="1" applyProtection="1">
      <alignment horizontal="left" vertical="center"/>
      <protection locked="0"/>
    </xf>
    <xf numFmtId="0" fontId="17" fillId="20" borderId="4" xfId="10" applyFont="1" applyFill="1" applyBorder="1" applyAlignment="1" applyProtection="1">
      <alignment vertical="center"/>
      <protection locked="0"/>
    </xf>
    <xf numFmtId="0" fontId="17" fillId="20" borderId="21" xfId="10" applyFont="1" applyFill="1" applyBorder="1" applyAlignment="1" applyProtection="1">
      <alignment vertical="center"/>
      <protection locked="0"/>
    </xf>
    <xf numFmtId="0" fontId="17" fillId="20" borderId="14" xfId="10" applyFont="1" applyFill="1" applyBorder="1" applyAlignment="1" applyProtection="1">
      <alignment vertical="center"/>
      <protection locked="0"/>
    </xf>
    <xf numFmtId="1" fontId="13" fillId="20" borderId="4" xfId="9" applyNumberFormat="1" applyFont="1" applyFill="1" applyBorder="1" applyAlignment="1" applyProtection="1">
      <alignment horizontal="center" vertical="center"/>
      <protection locked="0"/>
    </xf>
    <xf numFmtId="0" fontId="18" fillId="20" borderId="21" xfId="10" applyFont="1" applyFill="1" applyBorder="1" applyAlignment="1" applyProtection="1">
      <alignment horizontal="center" vertical="center"/>
      <protection locked="0"/>
    </xf>
    <xf numFmtId="0" fontId="13" fillId="20" borderId="7" xfId="9" applyNumberFormat="1" applyFont="1" applyFill="1" applyBorder="1" applyAlignment="1" applyProtection="1">
      <alignment horizontal="center" vertical="center"/>
      <protection locked="0"/>
    </xf>
    <xf numFmtId="0" fontId="13" fillId="20" borderId="1" xfId="9" applyNumberFormat="1" applyFont="1" applyFill="1" applyBorder="1" applyAlignment="1" applyProtection="1">
      <alignment vertical="center"/>
      <protection locked="0"/>
    </xf>
    <xf numFmtId="0" fontId="15" fillId="20" borderId="44" xfId="10" applyFont="1" applyFill="1" applyBorder="1" applyAlignment="1" applyProtection="1">
      <alignment horizontal="center" vertical="center"/>
      <protection locked="0"/>
    </xf>
    <xf numFmtId="0" fontId="15" fillId="20" borderId="33" xfId="10" applyFont="1" applyFill="1" applyBorder="1" applyAlignment="1" applyProtection="1">
      <alignment horizontal="center" vertical="center"/>
      <protection locked="0"/>
    </xf>
    <xf numFmtId="0" fontId="13" fillId="20" borderId="2" xfId="9" applyNumberFormat="1" applyFont="1" applyFill="1" applyBorder="1" applyAlignment="1" applyProtection="1">
      <alignment horizontal="center" vertical="center"/>
      <protection locked="0"/>
    </xf>
    <xf numFmtId="0" fontId="17" fillId="20" borderId="4" xfId="10" applyFont="1" applyFill="1" applyBorder="1" applyAlignment="1" applyProtection="1">
      <alignment horizontal="left" vertical="center" wrapText="1"/>
      <protection locked="0"/>
    </xf>
    <xf numFmtId="0" fontId="17" fillId="20" borderId="73" xfId="10" applyFont="1" applyFill="1" applyBorder="1" applyAlignment="1" applyProtection="1">
      <alignment vertical="center"/>
      <protection locked="0"/>
    </xf>
    <xf numFmtId="0" fontId="15" fillId="20" borderId="2" xfId="10" applyFont="1" applyFill="1" applyBorder="1" applyAlignment="1" applyProtection="1">
      <alignment horizontal="center" vertical="center"/>
      <protection locked="0"/>
    </xf>
    <xf numFmtId="0" fontId="15" fillId="20" borderId="7" xfId="10" applyFont="1" applyFill="1" applyBorder="1" applyAlignment="1" applyProtection="1">
      <alignment horizontal="center" vertical="center" wrapText="1"/>
      <protection locked="0"/>
    </xf>
    <xf numFmtId="0" fontId="13" fillId="20" borderId="24" xfId="9" applyNumberFormat="1" applyFont="1" applyFill="1" applyBorder="1" applyAlignment="1" applyProtection="1">
      <alignment vertical="center"/>
      <protection locked="0"/>
    </xf>
    <xf numFmtId="0" fontId="29" fillId="20" borderId="4" xfId="10" applyFont="1" applyFill="1" applyBorder="1" applyAlignment="1" applyProtection="1">
      <alignment vertical="center"/>
      <protection locked="0"/>
    </xf>
    <xf numFmtId="0" fontId="17" fillId="20" borderId="30" xfId="10" applyFont="1" applyFill="1" applyBorder="1" applyAlignment="1" applyProtection="1">
      <alignment vertical="center"/>
      <protection locked="0"/>
    </xf>
    <xf numFmtId="0" fontId="29" fillId="20" borderId="21" xfId="10" applyFont="1" applyFill="1" applyBorder="1" applyAlignment="1" applyProtection="1">
      <alignment vertical="center"/>
      <protection locked="0"/>
    </xf>
    <xf numFmtId="0" fontId="29" fillId="20" borderId="4" xfId="10" applyFont="1" applyFill="1" applyBorder="1" applyAlignment="1" applyProtection="1">
      <alignment horizontal="left" vertical="top"/>
      <protection locked="0"/>
    </xf>
    <xf numFmtId="0" fontId="29" fillId="20" borderId="21" xfId="10" applyFont="1" applyFill="1" applyBorder="1" applyAlignment="1" applyProtection="1">
      <alignment horizontal="left" vertical="top"/>
      <protection locked="0"/>
    </xf>
    <xf numFmtId="0" fontId="17" fillId="20" borderId="70" xfId="10" applyFont="1" applyFill="1" applyBorder="1" applyAlignment="1" applyProtection="1">
      <alignment vertical="center"/>
      <protection locked="0"/>
    </xf>
    <xf numFmtId="0" fontId="18" fillId="20" borderId="4" xfId="10" applyFont="1" applyFill="1" applyBorder="1" applyAlignment="1" applyProtection="1">
      <alignment horizontal="center" vertical="center"/>
      <protection locked="0"/>
    </xf>
    <xf numFmtId="0" fontId="17" fillId="20" borderId="5" xfId="10" applyFont="1" applyFill="1" applyBorder="1" applyAlignment="1" applyProtection="1">
      <alignment vertical="center"/>
      <protection locked="0"/>
    </xf>
    <xf numFmtId="0" fontId="17" fillId="20" borderId="0" xfId="10" applyFont="1" applyFill="1" applyAlignment="1" applyProtection="1">
      <alignment vertical="center"/>
      <protection locked="0"/>
    </xf>
    <xf numFmtId="1" fontId="13" fillId="20" borderId="5" xfId="9" applyNumberFormat="1" applyFont="1" applyFill="1" applyBorder="1" applyAlignment="1" applyProtection="1">
      <alignment horizontal="center" vertical="center"/>
      <protection locked="0"/>
    </xf>
    <xf numFmtId="0" fontId="15" fillId="20" borderId="5" xfId="10" applyFont="1" applyFill="1" applyBorder="1" applyAlignment="1" applyProtection="1">
      <alignment horizontal="center" vertical="center"/>
      <protection locked="0"/>
    </xf>
    <xf numFmtId="0" fontId="18" fillId="20" borderId="68" xfId="10" applyFont="1" applyFill="1" applyBorder="1" applyAlignment="1" applyProtection="1">
      <alignment horizontal="center" vertical="center"/>
      <protection locked="0"/>
    </xf>
    <xf numFmtId="0" fontId="15" fillId="20" borderId="63" xfId="10" applyFont="1" applyFill="1" applyBorder="1" applyAlignment="1" applyProtection="1">
      <alignment horizontal="center" vertical="center"/>
      <protection locked="0"/>
    </xf>
    <xf numFmtId="0" fontId="39" fillId="20" borderId="4" xfId="15" applyNumberFormat="1" applyFont="1" applyFill="1" applyBorder="1" applyAlignment="1" applyProtection="1">
      <alignment horizontal="center" vertical="center" wrapText="1"/>
    </xf>
    <xf numFmtId="0" fontId="38" fillId="0" borderId="4" xfId="0" applyFont="1" applyBorder="1" applyAlignment="1">
      <alignment horizontal="center" vertical="center" wrapText="1"/>
    </xf>
    <xf numFmtId="169" fontId="8" fillId="20" borderId="4" xfId="0" applyNumberFormat="1" applyFont="1" applyFill="1" applyBorder="1" applyAlignment="1" applyProtection="1">
      <alignment vertical="center"/>
      <protection locked="0"/>
    </xf>
    <xf numFmtId="0" fontId="8" fillId="20" borderId="4" xfId="0" applyFont="1" applyFill="1" applyBorder="1" applyAlignment="1" applyProtection="1">
      <alignment vertical="center"/>
      <protection locked="0"/>
    </xf>
    <xf numFmtId="0" fontId="8" fillId="20" borderId="21" xfId="0" applyFont="1" applyFill="1" applyBorder="1" applyAlignment="1" applyProtection="1">
      <alignment vertical="center"/>
      <protection locked="0"/>
    </xf>
    <xf numFmtId="0" fontId="11" fillId="22" borderId="59" xfId="10" applyFont="1" applyFill="1" applyBorder="1" applyAlignment="1">
      <alignment horizontal="center" vertical="center" wrapText="1"/>
    </xf>
    <xf numFmtId="0" fontId="34" fillId="21" borderId="13" xfId="10" applyFont="1" applyFill="1" applyBorder="1" applyAlignment="1">
      <alignment horizontal="center" vertical="center" wrapText="1"/>
    </xf>
    <xf numFmtId="0" fontId="34" fillId="21" borderId="5" xfId="10" applyFont="1" applyFill="1" applyBorder="1" applyAlignment="1">
      <alignment horizontal="center" vertical="center" wrapText="1"/>
    </xf>
    <xf numFmtId="0" fontId="41" fillId="0" borderId="0" xfId="0" applyFont="1"/>
    <xf numFmtId="0" fontId="41" fillId="17" borderId="0" xfId="0" applyFont="1" applyFill="1"/>
    <xf numFmtId="0" fontId="40" fillId="17" borderId="0" xfId="0" applyFont="1" applyFill="1"/>
    <xf numFmtId="169" fontId="9" fillId="0" borderId="4" xfId="15" applyNumberFormat="1" applyFont="1" applyFill="1" applyBorder="1" applyAlignment="1" applyProtection="1">
      <alignment horizontal="center" vertical="center"/>
    </xf>
    <xf numFmtId="0" fontId="43" fillId="0" borderId="2" xfId="0" applyFont="1" applyBorder="1" applyAlignment="1">
      <alignment vertical="center"/>
    </xf>
    <xf numFmtId="175" fontId="36" fillId="0" borderId="4" xfId="20" applyNumberFormat="1" applyFont="1" applyFill="1" applyBorder="1" applyAlignment="1">
      <alignment vertical="center"/>
    </xf>
    <xf numFmtId="0" fontId="0" fillId="2" borderId="4" xfId="0" applyFill="1" applyBorder="1" applyAlignment="1">
      <alignment horizontal="center" vertical="center"/>
    </xf>
    <xf numFmtId="0" fontId="0" fillId="21" borderId="4" xfId="0" applyFill="1" applyBorder="1" applyAlignment="1">
      <alignment vertical="center"/>
    </xf>
    <xf numFmtId="0" fontId="4" fillId="23" borderId="3" xfId="0" applyFont="1" applyFill="1" applyBorder="1" applyAlignment="1">
      <alignment vertical="center"/>
    </xf>
    <xf numFmtId="0" fontId="4" fillId="25" borderId="4" xfId="0" applyFont="1" applyFill="1" applyBorder="1" applyAlignment="1">
      <alignment horizontal="center" vertical="center"/>
    </xf>
    <xf numFmtId="0" fontId="44" fillId="0" borderId="4" xfId="0" applyFont="1" applyBorder="1" applyAlignment="1">
      <alignment vertical="center"/>
    </xf>
    <xf numFmtId="0" fontId="45" fillId="0" borderId="4" xfId="0" applyFont="1" applyBorder="1" applyAlignment="1">
      <alignment vertical="center"/>
    </xf>
    <xf numFmtId="0" fontId="4" fillId="26" borderId="4" xfId="0" applyFont="1" applyFill="1" applyBorder="1" applyAlignment="1">
      <alignment horizontal="center" vertical="center"/>
    </xf>
    <xf numFmtId="0" fontId="4" fillId="0" borderId="0" xfId="0" applyFont="1" applyAlignment="1">
      <alignment vertical="center"/>
    </xf>
    <xf numFmtId="0" fontId="4" fillId="0" borderId="0" xfId="0" applyFont="1" applyAlignment="1">
      <alignment horizontal="right" vertical="center"/>
    </xf>
    <xf numFmtId="0" fontId="8" fillId="20" borderId="4" xfId="15" applyNumberFormat="1" applyFont="1" applyFill="1" applyBorder="1" applyAlignment="1" applyProtection="1">
      <alignment horizontal="center" vertical="center"/>
    </xf>
    <xf numFmtId="1" fontId="22" fillId="0" borderId="39" xfId="0" applyNumberFormat="1" applyFont="1" applyBorder="1" applyAlignment="1">
      <alignment horizontal="left" vertical="center"/>
    </xf>
    <xf numFmtId="169" fontId="9" fillId="0" borderId="0" xfId="0" applyNumberFormat="1" applyFont="1" applyAlignment="1">
      <alignment horizontal="center" vertical="center"/>
    </xf>
    <xf numFmtId="169" fontId="0" fillId="0" borderId="0" xfId="0" applyNumberFormat="1"/>
    <xf numFmtId="0" fontId="8" fillId="20" borderId="4" xfId="0" applyFont="1" applyFill="1" applyBorder="1" applyAlignment="1" applyProtection="1">
      <alignment horizontal="left" vertical="center" wrapText="1"/>
      <protection locked="0"/>
    </xf>
    <xf numFmtId="169" fontId="9" fillId="18" borderId="2" xfId="0" applyNumberFormat="1" applyFont="1" applyFill="1" applyBorder="1" applyAlignment="1">
      <alignment horizontal="center" vertical="center"/>
    </xf>
    <xf numFmtId="169" fontId="9" fillId="2" borderId="0" xfId="0" applyNumberFormat="1" applyFont="1" applyFill="1" applyAlignment="1">
      <alignment horizontal="center" vertical="center"/>
    </xf>
    <xf numFmtId="0" fontId="9" fillId="17" borderId="4" xfId="0" applyFont="1" applyFill="1" applyBorder="1" applyAlignment="1">
      <alignment horizontal="left" vertical="center"/>
    </xf>
    <xf numFmtId="169" fontId="9" fillId="17" borderId="2" xfId="0" applyNumberFormat="1" applyFont="1" applyFill="1" applyBorder="1" applyAlignment="1">
      <alignment horizontal="center" vertical="center"/>
    </xf>
    <xf numFmtId="0" fontId="9" fillId="0" borderId="0" xfId="0" applyFont="1" applyAlignment="1">
      <alignment horizontal="left" vertical="center"/>
    </xf>
    <xf numFmtId="0" fontId="4" fillId="0" borderId="0" xfId="0" applyFont="1"/>
    <xf numFmtId="169" fontId="4" fillId="0" borderId="0" xfId="0" applyNumberFormat="1" applyFont="1"/>
    <xf numFmtId="0" fontId="1" fillId="2" borderId="4" xfId="10" applyFont="1" applyFill="1" applyBorder="1" applyAlignment="1">
      <alignment vertical="center"/>
    </xf>
    <xf numFmtId="0" fontId="0" fillId="2" borderId="2" xfId="0" applyFill="1" applyBorder="1" applyAlignment="1">
      <alignment vertical="center"/>
    </xf>
    <xf numFmtId="0" fontId="46" fillId="2" borderId="2" xfId="0" applyFont="1" applyFill="1" applyBorder="1" applyAlignment="1">
      <alignment vertical="center"/>
    </xf>
    <xf numFmtId="0" fontId="47" fillId="2" borderId="4" xfId="10" applyFont="1" applyFill="1" applyBorder="1" applyAlignment="1">
      <alignment vertical="center"/>
    </xf>
    <xf numFmtId="0" fontId="46" fillId="2" borderId="4" xfId="0" applyFont="1" applyFill="1" applyBorder="1" applyAlignment="1">
      <alignment vertical="center"/>
    </xf>
    <xf numFmtId="0" fontId="48" fillId="2" borderId="2" xfId="0" applyFont="1" applyFill="1" applyBorder="1" applyAlignment="1">
      <alignment vertical="center"/>
    </xf>
    <xf numFmtId="0" fontId="49" fillId="2" borderId="4" xfId="10" applyFont="1" applyFill="1" applyBorder="1" applyAlignment="1">
      <alignment vertical="center"/>
    </xf>
    <xf numFmtId="170" fontId="10" fillId="0" borderId="0" xfId="0" applyNumberFormat="1" applyFont="1" applyAlignment="1">
      <alignment horizontal="center" vertical="center" wrapText="1"/>
    </xf>
    <xf numFmtId="0" fontId="31" fillId="2" borderId="0" xfId="0" applyFont="1" applyFill="1" applyAlignment="1">
      <alignment vertical="center"/>
    </xf>
    <xf numFmtId="0" fontId="37" fillId="0" borderId="4" xfId="0" applyFont="1" applyBorder="1" applyAlignment="1">
      <alignment vertical="center"/>
    </xf>
    <xf numFmtId="0" fontId="48" fillId="2" borderId="0" xfId="0" applyFont="1" applyFill="1" applyAlignment="1">
      <alignment vertical="center"/>
    </xf>
    <xf numFmtId="0" fontId="4" fillId="2" borderId="21" xfId="0" applyFont="1" applyFill="1" applyBorder="1" applyAlignment="1">
      <alignment horizontal="center" vertical="center"/>
    </xf>
    <xf numFmtId="0" fontId="4" fillId="2" borderId="5" xfId="0" applyFont="1" applyFill="1" applyBorder="1" applyAlignment="1">
      <alignment horizontal="center" vertical="center"/>
    </xf>
    <xf numFmtId="0" fontId="4" fillId="26" borderId="4" xfId="0" applyFont="1" applyFill="1" applyBorder="1" applyAlignment="1">
      <alignment vertical="center"/>
    </xf>
    <xf numFmtId="0" fontId="8" fillId="0" borderId="4" xfId="0" applyFont="1" applyBorder="1" applyAlignment="1">
      <alignment horizontal="left" vertical="center"/>
    </xf>
    <xf numFmtId="0" fontId="37" fillId="2" borderId="4" xfId="0" applyFont="1" applyFill="1" applyBorder="1" applyAlignment="1">
      <alignment vertical="center"/>
    </xf>
    <xf numFmtId="0" fontId="48" fillId="2" borderId="4" xfId="0" applyFont="1" applyFill="1" applyBorder="1" applyAlignment="1">
      <alignment vertical="center"/>
    </xf>
    <xf numFmtId="0" fontId="4" fillId="2" borderId="0" xfId="0" applyFont="1" applyFill="1" applyAlignment="1">
      <alignment vertical="center"/>
    </xf>
    <xf numFmtId="0" fontId="51" fillId="2" borderId="4" xfId="0" applyFont="1" applyFill="1" applyBorder="1" applyAlignment="1">
      <alignment vertical="center"/>
    </xf>
    <xf numFmtId="175" fontId="0" fillId="0" borderId="2" xfId="20" applyNumberFormat="1" applyFont="1" applyFill="1" applyBorder="1" applyAlignment="1">
      <alignment vertical="center"/>
    </xf>
    <xf numFmtId="164" fontId="0" fillId="0" borderId="2" xfId="20" applyFont="1" applyFill="1" applyBorder="1" applyAlignment="1">
      <alignment vertical="center"/>
    </xf>
    <xf numFmtId="164" fontId="0" fillId="2" borderId="4" xfId="20" applyFont="1" applyFill="1" applyBorder="1" applyAlignment="1">
      <alignment vertical="center"/>
    </xf>
    <xf numFmtId="164" fontId="48" fillId="2" borderId="4" xfId="20" applyFont="1" applyFill="1" applyBorder="1" applyAlignment="1">
      <alignment vertical="center"/>
    </xf>
    <xf numFmtId="164" fontId="4" fillId="2" borderId="4" xfId="20" applyFont="1" applyFill="1" applyBorder="1" applyAlignment="1">
      <alignment vertical="center"/>
    </xf>
    <xf numFmtId="0" fontId="8" fillId="20" borderId="4" xfId="0" applyFont="1" applyFill="1" applyBorder="1" applyAlignment="1">
      <alignment horizontal="center" vertical="center"/>
    </xf>
    <xf numFmtId="0" fontId="9" fillId="2" borderId="4" xfId="0" applyFont="1" applyFill="1" applyBorder="1" applyAlignment="1">
      <alignment horizontal="center" vertical="center"/>
    </xf>
    <xf numFmtId="0" fontId="52" fillId="2" borderId="4" xfId="10" applyFont="1" applyFill="1" applyBorder="1" applyAlignment="1">
      <alignment vertical="center"/>
    </xf>
    <xf numFmtId="0" fontId="34" fillId="18" borderId="4" xfId="0" applyFont="1" applyFill="1" applyBorder="1" applyAlignment="1">
      <alignment horizontal="left" vertical="center"/>
    </xf>
    <xf numFmtId="0" fontId="34" fillId="19" borderId="4" xfId="0" applyFont="1" applyFill="1" applyBorder="1" applyAlignment="1">
      <alignment horizontal="centerContinuous" vertical="center"/>
    </xf>
    <xf numFmtId="0" fontId="34" fillId="23" borderId="4" xfId="0" applyFont="1" applyFill="1" applyBorder="1" applyAlignment="1">
      <alignment horizontal="left" vertical="center"/>
    </xf>
    <xf numFmtId="169" fontId="9" fillId="23" borderId="2" xfId="0" applyNumberFormat="1" applyFont="1" applyFill="1" applyBorder="1" applyAlignment="1">
      <alignment horizontal="center" vertical="center"/>
    </xf>
    <xf numFmtId="169" fontId="9" fillId="23" borderId="4" xfId="0" applyNumberFormat="1" applyFont="1" applyFill="1" applyBorder="1" applyAlignment="1">
      <alignment horizontal="center" vertical="center"/>
    </xf>
    <xf numFmtId="0" fontId="0" fillId="0" borderId="0" xfId="0" applyAlignment="1">
      <alignment vertical="center"/>
    </xf>
    <xf numFmtId="0" fontId="50" fillId="2" borderId="0" xfId="0" applyFont="1" applyFill="1" applyAlignment="1">
      <alignment vertical="center"/>
    </xf>
    <xf numFmtId="0" fontId="50" fillId="0" borderId="21" xfId="0" applyFont="1" applyBorder="1" applyAlignment="1">
      <alignment horizontal="center" vertical="center"/>
    </xf>
    <xf numFmtId="0" fontId="50" fillId="2" borderId="21" xfId="0" applyFont="1" applyFill="1" applyBorder="1" applyAlignment="1">
      <alignment horizontal="center" vertical="center"/>
    </xf>
    <xf numFmtId="0" fontId="50" fillId="0" borderId="4" xfId="0" applyFont="1" applyBorder="1" applyAlignment="1">
      <alignment vertical="center"/>
    </xf>
    <xf numFmtId="0" fontId="50" fillId="0" borderId="4" xfId="0" applyFont="1" applyBorder="1"/>
    <xf numFmtId="0" fontId="38" fillId="0" borderId="4" xfId="0" applyFont="1" applyBorder="1" applyAlignment="1">
      <alignment vertical="center"/>
    </xf>
    <xf numFmtId="0" fontId="54" fillId="0" borderId="4" xfId="0" applyFont="1" applyBorder="1" applyAlignment="1">
      <alignment vertical="center"/>
    </xf>
    <xf numFmtId="0" fontId="55" fillId="0" borderId="4" xfId="0" applyFont="1" applyBorder="1" applyAlignment="1">
      <alignment vertical="center"/>
    </xf>
    <xf numFmtId="0" fontId="50" fillId="0" borderId="2" xfId="0" applyFont="1" applyBorder="1" applyAlignment="1">
      <alignment vertical="center"/>
    </xf>
    <xf numFmtId="0" fontId="50" fillId="2" borderId="4" xfId="0" applyFont="1" applyFill="1" applyBorder="1" applyAlignment="1">
      <alignment vertical="center"/>
    </xf>
    <xf numFmtId="0" fontId="50" fillId="2" borderId="21" xfId="0" applyFont="1" applyFill="1" applyBorder="1" applyAlignment="1">
      <alignment horizontal="left" vertical="center"/>
    </xf>
    <xf numFmtId="0" fontId="50" fillId="0" borderId="2" xfId="0" applyFont="1" applyBorder="1"/>
    <xf numFmtId="0" fontId="38" fillId="0" borderId="4" xfId="0" applyFont="1" applyBorder="1"/>
    <xf numFmtId="0" fontId="56" fillId="0" borderId="4" xfId="0" applyFont="1" applyBorder="1"/>
    <xf numFmtId="0" fontId="50" fillId="0" borderId="21" xfId="0" applyFont="1" applyBorder="1"/>
    <xf numFmtId="0" fontId="58" fillId="0" borderId="4" xfId="0" applyFont="1" applyBorder="1"/>
    <xf numFmtId="0" fontId="58" fillId="0" borderId="4" xfId="0" applyFont="1" applyBorder="1" applyAlignment="1">
      <alignment vertical="center"/>
    </xf>
    <xf numFmtId="0" fontId="59" fillId="0" borderId="4" xfId="0" applyFont="1" applyBorder="1" applyAlignment="1">
      <alignment vertical="center"/>
    </xf>
    <xf numFmtId="0" fontId="60" fillId="17" borderId="0" xfId="0" applyFont="1" applyFill="1"/>
    <xf numFmtId="170" fontId="8" fillId="6" borderId="0" xfId="15" applyNumberFormat="1" applyFont="1" applyFill="1" applyBorder="1" applyAlignment="1" applyProtection="1">
      <alignment horizontal="center" vertical="center"/>
    </xf>
    <xf numFmtId="165" fontId="13" fillId="0" borderId="74" xfId="12" applyNumberFormat="1" applyFont="1" applyFill="1" applyBorder="1" applyAlignment="1" applyProtection="1">
      <alignment horizontal="center" vertical="center"/>
    </xf>
    <xf numFmtId="0" fontId="16" fillId="3" borderId="45" xfId="10" applyFont="1" applyFill="1" applyBorder="1" applyAlignment="1">
      <alignment horizontal="center" vertical="center" wrapText="1"/>
    </xf>
    <xf numFmtId="0" fontId="41" fillId="17" borderId="0" xfId="0" applyFont="1" applyFill="1" applyAlignment="1">
      <alignment vertical="top"/>
    </xf>
    <xf numFmtId="1" fontId="13" fillId="0" borderId="48" xfId="12" applyNumberFormat="1" applyFont="1" applyFill="1" applyBorder="1" applyAlignment="1" applyProtection="1">
      <alignment horizontal="center" vertical="center"/>
    </xf>
    <xf numFmtId="0" fontId="18" fillId="5" borderId="64" xfId="10" applyFont="1" applyFill="1" applyBorder="1" applyAlignment="1">
      <alignment horizontal="center" vertical="center"/>
    </xf>
    <xf numFmtId="0" fontId="16" fillId="3" borderId="19" xfId="0" applyFont="1" applyFill="1" applyBorder="1" applyAlignment="1">
      <alignment horizontal="center" vertical="center"/>
    </xf>
    <xf numFmtId="0" fontId="16" fillId="15" borderId="40" xfId="10" applyFont="1" applyFill="1" applyBorder="1" applyAlignment="1">
      <alignment horizontal="center" vertical="center" wrapText="1"/>
    </xf>
    <xf numFmtId="165" fontId="14" fillId="2" borderId="16" xfId="10" applyNumberFormat="1" applyFont="1" applyFill="1" applyBorder="1" applyAlignment="1">
      <alignment horizontal="center" vertical="center" wrapText="1"/>
    </xf>
    <xf numFmtId="0" fontId="15" fillId="20" borderId="29" xfId="10" applyFont="1" applyFill="1" applyBorder="1" applyAlignment="1" applyProtection="1">
      <alignment horizontal="center" vertical="center"/>
      <protection locked="0"/>
    </xf>
    <xf numFmtId="0" fontId="15" fillId="20" borderId="73" xfId="10" applyFont="1" applyFill="1" applyBorder="1" applyAlignment="1" applyProtection="1">
      <alignment horizontal="center" vertical="center"/>
      <protection locked="0"/>
    </xf>
    <xf numFmtId="0" fontId="15" fillId="20" borderId="46" xfId="10" applyFont="1" applyFill="1" applyBorder="1" applyAlignment="1" applyProtection="1">
      <alignment horizontal="center" vertical="center"/>
      <protection locked="0"/>
    </xf>
    <xf numFmtId="0" fontId="18" fillId="5" borderId="16" xfId="10" applyFont="1" applyFill="1" applyBorder="1" applyAlignment="1">
      <alignment horizontal="center" vertical="center"/>
    </xf>
    <xf numFmtId="0" fontId="13" fillId="20" borderId="73" xfId="10" applyFont="1" applyFill="1" applyBorder="1" applyAlignment="1" applyProtection="1">
      <alignment horizontal="center" vertical="center"/>
      <protection locked="0"/>
    </xf>
    <xf numFmtId="0" fontId="3" fillId="20" borderId="2" xfId="10" applyFill="1" applyBorder="1" applyAlignment="1" applyProtection="1">
      <alignment horizontal="center" vertical="center"/>
      <protection locked="0"/>
    </xf>
    <xf numFmtId="1" fontId="16" fillId="3" borderId="38" xfId="0" applyNumberFormat="1" applyFont="1" applyFill="1" applyBorder="1" applyAlignment="1">
      <alignment horizontal="center" vertical="center"/>
    </xf>
    <xf numFmtId="165" fontId="14" fillId="2" borderId="62" xfId="10" applyNumberFormat="1" applyFont="1" applyFill="1" applyBorder="1" applyAlignment="1">
      <alignment horizontal="center" vertical="center" wrapText="1"/>
    </xf>
    <xf numFmtId="0" fontId="15" fillId="0" borderId="43" xfId="10" applyFont="1" applyBorder="1" applyAlignment="1">
      <alignment horizontal="center" vertical="center"/>
    </xf>
    <xf numFmtId="0" fontId="18" fillId="5" borderId="62" xfId="10" applyFont="1" applyFill="1" applyBorder="1" applyAlignment="1">
      <alignment horizontal="center" vertical="center"/>
    </xf>
    <xf numFmtId="1" fontId="16" fillId="3" borderId="76" xfId="0" applyNumberFormat="1" applyFont="1" applyFill="1" applyBorder="1" applyAlignment="1">
      <alignment horizontal="center" vertical="center"/>
    </xf>
    <xf numFmtId="0" fontId="14" fillId="21" borderId="35" xfId="10" applyFont="1" applyFill="1" applyBorder="1" applyAlignment="1">
      <alignment horizontal="center" vertical="center" wrapText="1"/>
    </xf>
    <xf numFmtId="0" fontId="16" fillId="22" borderId="52" xfId="10" applyFont="1" applyFill="1" applyBorder="1" applyAlignment="1">
      <alignment horizontal="center" vertical="center" wrapText="1"/>
    </xf>
    <xf numFmtId="0" fontId="65" fillId="6" borderId="4" xfId="10" applyFont="1" applyFill="1" applyBorder="1" applyAlignment="1">
      <alignment horizontal="center" vertical="center" wrapText="1"/>
    </xf>
    <xf numFmtId="0" fontId="15" fillId="6" borderId="48" xfId="10" applyFont="1" applyFill="1" applyBorder="1" applyAlignment="1" applyProtection="1">
      <alignment horizontal="left" vertical="center"/>
      <protection locked="0"/>
    </xf>
    <xf numFmtId="0" fontId="15" fillId="6" borderId="4" xfId="10" applyFont="1" applyFill="1" applyBorder="1" applyAlignment="1" applyProtection="1">
      <alignment horizontal="left" vertical="center"/>
      <protection locked="0"/>
    </xf>
    <xf numFmtId="0" fontId="15" fillId="6" borderId="1" xfId="10" applyFont="1" applyFill="1" applyBorder="1" applyAlignment="1" applyProtection="1">
      <alignment horizontal="left" vertical="center"/>
      <protection locked="0"/>
    </xf>
    <xf numFmtId="0" fontId="15" fillId="6" borderId="24" xfId="10" applyFont="1" applyFill="1" applyBorder="1" applyAlignment="1" applyProtection="1">
      <alignment horizontal="left" vertical="center"/>
      <protection locked="0"/>
    </xf>
    <xf numFmtId="0" fontId="15" fillId="6" borderId="48" xfId="10" applyFont="1" applyFill="1" applyBorder="1" applyAlignment="1" applyProtection="1">
      <alignment horizontal="center" vertical="center"/>
      <protection locked="0"/>
    </xf>
    <xf numFmtId="0" fontId="15" fillId="6" borderId="4" xfId="10" applyFont="1" applyFill="1" applyBorder="1" applyAlignment="1" applyProtection="1">
      <alignment horizontal="center" vertical="center"/>
      <protection locked="0"/>
    </xf>
    <xf numFmtId="0" fontId="15" fillId="6" borderId="1" xfId="10" applyFont="1" applyFill="1" applyBorder="1" applyAlignment="1" applyProtection="1">
      <alignment horizontal="center" vertical="center"/>
      <protection locked="0"/>
    </xf>
    <xf numFmtId="0" fontId="15" fillId="6" borderId="48" xfId="10" applyFont="1" applyFill="1" applyBorder="1" applyAlignment="1" applyProtection="1">
      <alignment horizontal="center" vertical="center" wrapText="1"/>
      <protection locked="0"/>
    </xf>
    <xf numFmtId="0" fontId="15" fillId="6" borderId="4" xfId="10" applyFont="1" applyFill="1" applyBorder="1" applyAlignment="1" applyProtection="1">
      <alignment horizontal="center" vertical="center" wrapText="1"/>
      <protection locked="0"/>
    </xf>
    <xf numFmtId="0" fontId="15" fillId="6" borderId="1" xfId="10" applyFont="1" applyFill="1" applyBorder="1" applyAlignment="1" applyProtection="1">
      <alignment horizontal="center" vertical="center" wrapText="1"/>
      <protection locked="0"/>
    </xf>
    <xf numFmtId="0" fontId="15" fillId="6" borderId="75" xfId="10" applyFont="1" applyFill="1" applyBorder="1" applyAlignment="1" applyProtection="1">
      <alignment horizontal="center" vertical="center" wrapText="1"/>
      <protection locked="0"/>
    </xf>
    <xf numFmtId="0" fontId="15" fillId="6" borderId="14" xfId="10" applyFont="1" applyFill="1" applyBorder="1" applyAlignment="1" applyProtection="1">
      <alignment horizontal="center" vertical="center" wrapText="1"/>
      <protection locked="0"/>
    </xf>
    <xf numFmtId="1" fontId="8" fillId="20" borderId="4" xfId="9" applyNumberFormat="1" applyFont="1" applyFill="1" applyBorder="1" applyAlignment="1" applyProtection="1">
      <alignment horizontal="left" vertical="center"/>
      <protection locked="0"/>
    </xf>
    <xf numFmtId="1" fontId="9" fillId="6" borderId="4" xfId="0" applyNumberFormat="1" applyFont="1" applyFill="1" applyBorder="1" applyAlignment="1" applyProtection="1">
      <alignment horizontal="center" vertical="center"/>
      <protection locked="0"/>
    </xf>
    <xf numFmtId="175" fontId="4" fillId="0" borderId="4" xfId="20" applyNumberFormat="1" applyFont="1" applyFill="1" applyBorder="1" applyAlignment="1">
      <alignment vertical="center"/>
    </xf>
    <xf numFmtId="164" fontId="0" fillId="2" borderId="2" xfId="20" applyFont="1" applyFill="1" applyBorder="1" applyAlignment="1">
      <alignment vertical="center"/>
    </xf>
    <xf numFmtId="0" fontId="8" fillId="6" borderId="4" xfId="0" applyFont="1" applyFill="1" applyBorder="1" applyAlignment="1" applyProtection="1">
      <alignment horizontal="center" vertical="center"/>
      <protection locked="0"/>
    </xf>
    <xf numFmtId="6" fontId="27" fillId="2" borderId="46" xfId="0" applyNumberFormat="1" applyFont="1" applyFill="1" applyBorder="1" applyAlignment="1">
      <alignment horizontal="center" vertical="center"/>
    </xf>
    <xf numFmtId="178" fontId="37" fillId="2" borderId="0" xfId="9" applyNumberFormat="1" applyFont="1" applyFill="1" applyBorder="1" applyAlignment="1">
      <alignment vertical="center"/>
    </xf>
    <xf numFmtId="0" fontId="37" fillId="2" borderId="0" xfId="0" applyFont="1" applyFill="1" applyAlignment="1">
      <alignment vertical="center"/>
    </xf>
    <xf numFmtId="0" fontId="68" fillId="2" borderId="0" xfId="0" applyFont="1" applyFill="1" applyAlignment="1">
      <alignment horizontal="right" vertical="center"/>
    </xf>
    <xf numFmtId="0" fontId="69" fillId="2" borderId="0" xfId="0" quotePrefix="1" applyFont="1" applyFill="1" applyAlignment="1">
      <alignment horizontal="right" vertical="center"/>
    </xf>
    <xf numFmtId="0" fontId="26" fillId="2" borderId="0" xfId="0" applyFont="1" applyFill="1" applyAlignment="1">
      <alignment horizontal="center" vertical="center"/>
    </xf>
    <xf numFmtId="6" fontId="27" fillId="2" borderId="72" xfId="0" applyNumberFormat="1" applyFont="1" applyFill="1" applyBorder="1" applyAlignment="1">
      <alignment horizontal="center" vertical="center"/>
    </xf>
    <xf numFmtId="6" fontId="27" fillId="2" borderId="0" xfId="0" applyNumberFormat="1" applyFont="1" applyFill="1" applyAlignment="1">
      <alignment horizontal="center" vertical="center"/>
    </xf>
    <xf numFmtId="0" fontId="4" fillId="0" borderId="68" xfId="0" applyFont="1" applyBorder="1" applyAlignment="1">
      <alignment horizontal="center" vertical="center"/>
    </xf>
    <xf numFmtId="0" fontId="43" fillId="0" borderId="4" xfId="0" applyFont="1" applyBorder="1" applyAlignment="1">
      <alignment vertical="center"/>
    </xf>
    <xf numFmtId="0" fontId="50" fillId="0" borderId="21" xfId="0" applyFont="1" applyBorder="1" applyAlignment="1">
      <alignment vertical="center"/>
    </xf>
    <xf numFmtId="0" fontId="43" fillId="2" borderId="4" xfId="0" applyFont="1" applyFill="1" applyBorder="1" applyAlignment="1">
      <alignment vertical="center"/>
    </xf>
    <xf numFmtId="175" fontId="4" fillId="0" borderId="2" xfId="20" applyNumberFormat="1" applyFont="1" applyFill="1" applyBorder="1" applyAlignment="1">
      <alignment vertical="center"/>
    </xf>
    <xf numFmtId="175" fontId="36" fillId="0" borderId="2" xfId="20" applyNumberFormat="1" applyFont="1" applyFill="1" applyBorder="1" applyAlignment="1">
      <alignment vertical="center"/>
    </xf>
    <xf numFmtId="0" fontId="4" fillId="2" borderId="2" xfId="0" applyFont="1" applyFill="1" applyBorder="1" applyAlignment="1">
      <alignment horizontal="center" vertical="center"/>
    </xf>
    <xf numFmtId="170" fontId="8" fillId="2" borderId="80" xfId="0" applyNumberFormat="1" applyFont="1" applyFill="1" applyBorder="1" applyAlignment="1">
      <alignment horizontal="center" vertical="center"/>
    </xf>
    <xf numFmtId="170" fontId="8" fillId="2" borderId="33" xfId="0" applyNumberFormat="1" applyFont="1" applyFill="1" applyBorder="1" applyAlignment="1">
      <alignment horizontal="center" vertical="center"/>
    </xf>
    <xf numFmtId="0" fontId="8" fillId="6" borderId="4" xfId="0" applyFont="1" applyFill="1" applyBorder="1" applyAlignment="1">
      <alignment vertical="center"/>
    </xf>
    <xf numFmtId="0" fontId="38" fillId="20" borderId="4" xfId="15" applyNumberFormat="1" applyFont="1" applyFill="1" applyBorder="1" applyAlignment="1" applyProtection="1">
      <alignment horizontal="center" vertical="center" wrapText="1"/>
      <protection locked="0"/>
    </xf>
    <xf numFmtId="0" fontId="42" fillId="17" borderId="24" xfId="0" applyFont="1" applyFill="1" applyBorder="1" applyAlignment="1">
      <alignment horizontal="center" vertical="center"/>
    </xf>
    <xf numFmtId="0" fontId="10" fillId="15" borderId="3" xfId="0" applyFont="1" applyFill="1" applyBorder="1" applyAlignment="1">
      <alignment horizontal="center" vertical="center"/>
    </xf>
    <xf numFmtId="0" fontId="10" fillId="15" borderId="1" xfId="0" applyFont="1" applyFill="1" applyBorder="1" applyAlignment="1">
      <alignment horizontal="center" vertical="center"/>
    </xf>
    <xf numFmtId="0" fontId="10" fillId="15" borderId="2" xfId="0" applyFont="1" applyFill="1" applyBorder="1" applyAlignment="1">
      <alignment horizontal="center" vertical="center"/>
    </xf>
    <xf numFmtId="0" fontId="34" fillId="18" borderId="21" xfId="0" applyFont="1" applyFill="1" applyBorder="1" applyAlignment="1">
      <alignment horizontal="left" vertical="center"/>
    </xf>
    <xf numFmtId="0" fontId="34" fillId="18" borderId="5" xfId="0" applyFont="1" applyFill="1" applyBorder="1" applyAlignment="1">
      <alignment horizontal="left" vertical="center"/>
    </xf>
    <xf numFmtId="169" fontId="9" fillId="18" borderId="4" xfId="0" applyNumberFormat="1" applyFont="1" applyFill="1" applyBorder="1" applyAlignment="1">
      <alignment horizontal="center" vertical="center"/>
    </xf>
    <xf numFmtId="169" fontId="9" fillId="17" borderId="4" xfId="0" applyNumberFormat="1" applyFont="1" applyFill="1" applyBorder="1" applyAlignment="1">
      <alignment horizontal="center" vertical="center"/>
    </xf>
    <xf numFmtId="169" fontId="9" fillId="0" borderId="0" xfId="0" applyNumberFormat="1" applyFont="1" applyAlignment="1">
      <alignment horizontal="center" vertical="center"/>
    </xf>
    <xf numFmtId="0" fontId="9" fillId="0" borderId="0" xfId="0" applyFont="1" applyAlignment="1">
      <alignment horizontal="left" vertical="center"/>
    </xf>
    <xf numFmtId="0" fontId="34" fillId="18" borderId="4" xfId="0" applyFont="1" applyFill="1" applyBorder="1" applyAlignment="1">
      <alignment horizontal="left" vertical="center"/>
    </xf>
    <xf numFmtId="0" fontId="9" fillId="0" borderId="3" xfId="0" applyFont="1" applyBorder="1" applyAlignment="1">
      <alignment horizontal="center" vertical="center" wrapText="1"/>
    </xf>
    <xf numFmtId="0" fontId="9" fillId="0" borderId="2" xfId="0" applyFont="1" applyBorder="1" applyAlignment="1">
      <alignment horizontal="center" vertical="center" wrapText="1"/>
    </xf>
    <xf numFmtId="0" fontId="9" fillId="2" borderId="3" xfId="0" applyFont="1" applyFill="1" applyBorder="1" applyAlignment="1">
      <alignment horizontal="center" vertical="center"/>
    </xf>
    <xf numFmtId="0" fontId="9" fillId="2" borderId="2" xfId="0" applyFont="1" applyFill="1" applyBorder="1" applyAlignment="1">
      <alignment horizontal="center" vertical="center"/>
    </xf>
    <xf numFmtId="49" fontId="8" fillId="0" borderId="3" xfId="0" applyNumberFormat="1" applyFont="1" applyBorder="1" applyAlignment="1">
      <alignment horizontal="left" vertical="center" wrapText="1"/>
    </xf>
    <xf numFmtId="49" fontId="8" fillId="0" borderId="2" xfId="0" applyNumberFormat="1" applyFont="1" applyBorder="1" applyAlignment="1">
      <alignment horizontal="left" vertical="center" wrapText="1"/>
    </xf>
    <xf numFmtId="0" fontId="8" fillId="0" borderId="3" xfId="0" applyFont="1" applyBorder="1" applyAlignment="1">
      <alignment horizontal="left" vertical="center" wrapText="1"/>
    </xf>
    <xf numFmtId="0" fontId="8" fillId="0" borderId="2" xfId="0" applyFont="1" applyBorder="1" applyAlignment="1">
      <alignment horizontal="left" vertical="center" wrapText="1"/>
    </xf>
    <xf numFmtId="0" fontId="9" fillId="15" borderId="21" xfId="0" applyFont="1" applyFill="1" applyBorder="1" applyAlignment="1">
      <alignment horizontal="center" vertical="center"/>
    </xf>
    <xf numFmtId="0" fontId="9" fillId="15" borderId="68" xfId="0" applyFont="1" applyFill="1" applyBorder="1" applyAlignment="1">
      <alignment horizontal="center" vertical="center"/>
    </xf>
    <xf numFmtId="0" fontId="9" fillId="15" borderId="5" xfId="0" applyFont="1" applyFill="1" applyBorder="1" applyAlignment="1">
      <alignment horizontal="center" vertical="center"/>
    </xf>
    <xf numFmtId="0" fontId="9" fillId="17" borderId="4" xfId="0" applyFont="1" applyFill="1" applyBorder="1" applyAlignment="1">
      <alignment horizontal="left" vertical="center"/>
    </xf>
    <xf numFmtId="0" fontId="8" fillId="20" borderId="21" xfId="15" applyNumberFormat="1" applyFont="1" applyFill="1" applyBorder="1" applyAlignment="1" applyProtection="1">
      <alignment horizontal="center" vertical="center"/>
      <protection locked="0"/>
    </xf>
    <xf numFmtId="0" fontId="8" fillId="20" borderId="5" xfId="15" applyNumberFormat="1" applyFont="1" applyFill="1" applyBorder="1" applyAlignment="1" applyProtection="1">
      <alignment horizontal="center" vertical="center"/>
      <protection locked="0"/>
    </xf>
    <xf numFmtId="169" fontId="9" fillId="0" borderId="21" xfId="0" applyNumberFormat="1" applyFont="1" applyBorder="1" applyAlignment="1">
      <alignment horizontal="center" vertical="center"/>
    </xf>
    <xf numFmtId="169" fontId="9" fillId="0" borderId="68" xfId="0" applyNumberFormat="1" applyFont="1" applyBorder="1" applyAlignment="1">
      <alignment horizontal="center" vertical="center"/>
    </xf>
    <xf numFmtId="169" fontId="9" fillId="0" borderId="5" xfId="0" applyNumberFormat="1" applyFont="1" applyBorder="1" applyAlignment="1">
      <alignment horizontal="center" vertical="center"/>
    </xf>
    <xf numFmtId="0" fontId="34" fillId="2" borderId="21" xfId="0" applyFont="1" applyFill="1" applyBorder="1" applyAlignment="1">
      <alignment horizontal="left" vertical="center"/>
    </xf>
    <xf numFmtId="0" fontId="34" fillId="2" borderId="5" xfId="0" applyFont="1" applyFill="1" applyBorder="1" applyAlignment="1">
      <alignment horizontal="left" vertical="center"/>
    </xf>
    <xf numFmtId="0" fontId="9" fillId="2" borderId="21" xfId="0" applyFont="1" applyFill="1" applyBorder="1" applyAlignment="1">
      <alignment horizontal="center" vertical="center"/>
    </xf>
    <xf numFmtId="0" fontId="9" fillId="2" borderId="5" xfId="0" applyFont="1" applyFill="1" applyBorder="1" applyAlignment="1">
      <alignment horizontal="center" vertical="center"/>
    </xf>
    <xf numFmtId="0" fontId="9" fillId="19" borderId="21" xfId="0" applyFont="1" applyFill="1" applyBorder="1" applyAlignment="1">
      <alignment horizontal="center" vertical="center"/>
    </xf>
    <xf numFmtId="0" fontId="9" fillId="19" borderId="5" xfId="0" applyFont="1" applyFill="1" applyBorder="1" applyAlignment="1">
      <alignment horizontal="center" vertical="center"/>
    </xf>
    <xf numFmtId="0" fontId="34" fillId="18" borderId="4" xfId="0" applyFont="1" applyFill="1" applyBorder="1" applyAlignment="1">
      <alignment horizontal="left" vertical="center" wrapText="1"/>
    </xf>
    <xf numFmtId="0" fontId="9" fillId="2" borderId="21" xfId="0" applyFont="1" applyFill="1" applyBorder="1" applyAlignment="1">
      <alignment horizontal="left" vertical="center"/>
    </xf>
    <xf numFmtId="0" fontId="9" fillId="2" borderId="5" xfId="0" applyFont="1" applyFill="1" applyBorder="1" applyAlignment="1">
      <alignment horizontal="left" vertical="center"/>
    </xf>
    <xf numFmtId="169" fontId="9" fillId="18" borderId="21" xfId="0" applyNumberFormat="1" applyFont="1" applyFill="1" applyBorder="1" applyAlignment="1">
      <alignment horizontal="center" vertical="center"/>
    </xf>
    <xf numFmtId="169" fontId="9" fillId="18" borderId="5" xfId="0" applyNumberFormat="1" applyFont="1" applyFill="1" applyBorder="1" applyAlignment="1">
      <alignment horizontal="center" vertical="center"/>
    </xf>
    <xf numFmtId="0" fontId="16" fillId="15" borderId="65" xfId="0" applyFont="1" applyFill="1" applyBorder="1" applyAlignment="1">
      <alignment horizontal="center" vertical="center"/>
    </xf>
    <xf numFmtId="0" fontId="16" fillId="15" borderId="10" xfId="0" applyFont="1" applyFill="1" applyBorder="1" applyAlignment="1">
      <alignment horizontal="center" vertical="center"/>
    </xf>
    <xf numFmtId="0" fontId="16" fillId="15" borderId="16" xfId="0" applyFont="1" applyFill="1" applyBorder="1" applyAlignment="1">
      <alignment horizontal="center" vertical="center"/>
    </xf>
    <xf numFmtId="0" fontId="16" fillId="3" borderId="65" xfId="0" applyFont="1" applyFill="1" applyBorder="1" applyAlignment="1">
      <alignment horizontal="center" vertical="center"/>
    </xf>
    <xf numFmtId="0" fontId="16" fillId="3" borderId="10" xfId="0" applyFont="1" applyFill="1" applyBorder="1" applyAlignment="1">
      <alignment horizontal="center" vertical="center"/>
    </xf>
    <xf numFmtId="0" fontId="16" fillId="3" borderId="16" xfId="0" applyFont="1" applyFill="1" applyBorder="1" applyAlignment="1">
      <alignment horizontal="center" vertical="center"/>
    </xf>
    <xf numFmtId="0" fontId="13" fillId="0" borderId="1" xfId="9" applyNumberFormat="1" applyFont="1" applyBorder="1" applyAlignment="1" applyProtection="1">
      <alignment horizontal="left" vertical="center"/>
    </xf>
    <xf numFmtId="0" fontId="13" fillId="0" borderId="31" xfId="9" applyNumberFormat="1" applyFont="1" applyBorder="1" applyAlignment="1" applyProtection="1">
      <alignment horizontal="left" vertical="center"/>
    </xf>
    <xf numFmtId="0" fontId="13" fillId="0" borderId="24" xfId="9" applyNumberFormat="1" applyFont="1" applyBorder="1" applyAlignment="1" applyProtection="1">
      <alignment horizontal="left" vertical="center"/>
    </xf>
    <xf numFmtId="0" fontId="13" fillId="0" borderId="37" xfId="9" applyNumberFormat="1" applyFont="1" applyBorder="1" applyAlignment="1" applyProtection="1">
      <alignment horizontal="left" vertical="center"/>
    </xf>
    <xf numFmtId="0" fontId="16" fillId="3" borderId="15" xfId="10" applyFont="1" applyFill="1" applyBorder="1" applyAlignment="1">
      <alignment horizontal="center" vertical="center" wrapText="1"/>
    </xf>
    <xf numFmtId="0" fontId="16" fillId="3" borderId="23" xfId="10" applyFont="1" applyFill="1" applyBorder="1" applyAlignment="1">
      <alignment horizontal="center" vertical="center" wrapText="1"/>
    </xf>
    <xf numFmtId="0" fontId="16" fillId="3" borderId="45" xfId="10" applyFont="1" applyFill="1" applyBorder="1" applyAlignment="1">
      <alignment horizontal="center" vertical="center" wrapText="1"/>
    </xf>
    <xf numFmtId="0" fontId="16" fillId="3" borderId="57" xfId="10" applyFont="1" applyFill="1" applyBorder="1" applyAlignment="1">
      <alignment horizontal="center" vertical="center" wrapText="1"/>
    </xf>
    <xf numFmtId="0" fontId="16" fillId="3" borderId="27" xfId="10" applyFont="1" applyFill="1" applyBorder="1" applyAlignment="1">
      <alignment horizontal="center" vertical="center" wrapText="1"/>
    </xf>
    <xf numFmtId="0" fontId="13" fillId="0" borderId="54" xfId="9" applyNumberFormat="1" applyFont="1" applyBorder="1" applyAlignment="1" applyProtection="1">
      <alignment horizontal="left" vertical="center"/>
    </xf>
    <xf numFmtId="0" fontId="13" fillId="0" borderId="60" xfId="9" applyNumberFormat="1" applyFont="1" applyBorder="1" applyAlignment="1" applyProtection="1">
      <alignment horizontal="left" vertical="center"/>
    </xf>
    <xf numFmtId="0" fontId="16" fillId="3" borderId="42" xfId="10" applyFont="1" applyFill="1" applyBorder="1" applyAlignment="1">
      <alignment horizontal="center" vertical="center" wrapText="1"/>
    </xf>
    <xf numFmtId="0" fontId="16" fillId="3" borderId="39" xfId="10" applyFont="1" applyFill="1" applyBorder="1" applyAlignment="1">
      <alignment horizontal="center" vertical="center" wrapText="1"/>
    </xf>
    <xf numFmtId="0" fontId="16" fillId="3" borderId="25" xfId="10" applyFont="1" applyFill="1" applyBorder="1" applyAlignment="1">
      <alignment horizontal="center" vertical="center" wrapText="1"/>
    </xf>
    <xf numFmtId="0" fontId="16" fillId="3" borderId="51" xfId="10" applyFont="1" applyFill="1" applyBorder="1" applyAlignment="1">
      <alignment horizontal="center" vertical="center" wrapText="1"/>
    </xf>
    <xf numFmtId="0" fontId="14" fillId="21" borderId="3" xfId="0" applyFont="1" applyFill="1" applyBorder="1" applyAlignment="1">
      <alignment horizontal="center" vertical="center"/>
    </xf>
    <xf numFmtId="0" fontId="14" fillId="21" borderId="1" xfId="0" applyFont="1" applyFill="1" applyBorder="1" applyAlignment="1">
      <alignment horizontal="center" vertical="center"/>
    </xf>
    <xf numFmtId="0" fontId="14" fillId="21" borderId="2" xfId="0" applyFont="1" applyFill="1" applyBorder="1" applyAlignment="1">
      <alignment horizontal="center" vertical="center"/>
    </xf>
    <xf numFmtId="0" fontId="16" fillId="22" borderId="3" xfId="0" applyFont="1" applyFill="1" applyBorder="1" applyAlignment="1">
      <alignment horizontal="center" vertical="center"/>
    </xf>
    <xf numFmtId="0" fontId="16" fillId="22" borderId="1" xfId="0" applyFont="1" applyFill="1" applyBorder="1" applyAlignment="1">
      <alignment horizontal="center" vertical="center"/>
    </xf>
    <xf numFmtId="0" fontId="16" fillId="22" borderId="2" xfId="0" applyFont="1" applyFill="1" applyBorder="1" applyAlignment="1">
      <alignment horizontal="center" vertical="center"/>
    </xf>
    <xf numFmtId="0" fontId="16" fillId="3" borderId="30" xfId="10" applyFont="1" applyFill="1" applyBorder="1" applyAlignment="1">
      <alignment horizontal="center" vertical="center" wrapText="1"/>
    </xf>
    <xf numFmtId="0" fontId="16" fillId="3" borderId="36" xfId="10" applyFont="1" applyFill="1" applyBorder="1" applyAlignment="1">
      <alignment horizontal="center" vertical="center" wrapText="1"/>
    </xf>
    <xf numFmtId="0" fontId="16" fillId="3" borderId="29" xfId="10" applyFont="1" applyFill="1" applyBorder="1" applyAlignment="1">
      <alignment horizontal="center" vertical="center" wrapText="1"/>
    </xf>
    <xf numFmtId="0" fontId="16" fillId="3" borderId="41" xfId="10" applyFont="1" applyFill="1" applyBorder="1" applyAlignment="1">
      <alignment horizontal="center" vertical="center" wrapText="1"/>
    </xf>
    <xf numFmtId="0" fontId="16" fillId="3" borderId="6" xfId="10" applyFont="1" applyFill="1" applyBorder="1" applyAlignment="1">
      <alignment horizontal="center" vertical="center" wrapText="1"/>
    </xf>
    <xf numFmtId="0" fontId="16" fillId="3" borderId="20" xfId="10" applyFont="1" applyFill="1" applyBorder="1" applyAlignment="1">
      <alignment horizontal="center" vertical="center" wrapText="1"/>
    </xf>
    <xf numFmtId="0" fontId="16" fillId="3" borderId="49" xfId="10" applyFont="1" applyFill="1" applyBorder="1" applyAlignment="1">
      <alignment horizontal="center" vertical="center" wrapText="1"/>
    </xf>
    <xf numFmtId="0" fontId="16" fillId="3" borderId="8" xfId="10" applyFont="1" applyFill="1" applyBorder="1" applyAlignment="1">
      <alignment horizontal="center" vertical="center" wrapText="1"/>
    </xf>
    <xf numFmtId="0" fontId="16" fillId="3" borderId="30" xfId="10" applyFont="1" applyFill="1" applyBorder="1" applyAlignment="1">
      <alignment horizontal="center" vertical="center"/>
    </xf>
    <xf numFmtId="0" fontId="16" fillId="3" borderId="36" xfId="10" applyFont="1" applyFill="1" applyBorder="1" applyAlignment="1">
      <alignment horizontal="center" vertical="center"/>
    </xf>
    <xf numFmtId="0" fontId="16" fillId="3" borderId="56" xfId="10" applyFont="1" applyFill="1" applyBorder="1" applyAlignment="1">
      <alignment horizontal="center" vertical="center" wrapText="1"/>
    </xf>
    <xf numFmtId="0" fontId="16" fillId="3" borderId="55" xfId="10" applyFont="1" applyFill="1" applyBorder="1" applyAlignment="1">
      <alignment horizontal="center" vertical="center" wrapText="1"/>
    </xf>
    <xf numFmtId="0" fontId="4" fillId="0" borderId="21" xfId="0" applyFont="1" applyBorder="1" applyAlignment="1">
      <alignment horizontal="center" vertical="center"/>
    </xf>
    <xf numFmtId="0" fontId="4" fillId="0" borderId="68" xfId="0" applyFont="1" applyBorder="1" applyAlignment="1">
      <alignment horizontal="center" vertical="center"/>
    </xf>
    <xf numFmtId="0" fontId="4" fillId="0" borderId="5" xfId="0" applyFont="1" applyBorder="1" applyAlignment="1">
      <alignment horizontal="center" vertical="center"/>
    </xf>
    <xf numFmtId="0" fontId="57" fillId="0" borderId="21" xfId="0" applyFont="1" applyBorder="1" applyAlignment="1">
      <alignment horizontal="center" vertical="center"/>
    </xf>
    <xf numFmtId="0" fontId="57" fillId="0" borderId="68" xfId="0" applyFont="1" applyBorder="1" applyAlignment="1">
      <alignment horizontal="center" vertical="center"/>
    </xf>
    <xf numFmtId="0" fontId="57" fillId="0" borderId="5" xfId="0" applyFont="1" applyBorder="1" applyAlignment="1">
      <alignment horizontal="center" vertical="center"/>
    </xf>
    <xf numFmtId="0" fontId="4" fillId="2" borderId="77" xfId="0" applyFont="1" applyFill="1" applyBorder="1" applyAlignment="1">
      <alignment horizontal="center" vertical="center" wrapText="1"/>
    </xf>
    <xf numFmtId="0" fontId="4" fillId="2" borderId="78" xfId="0" applyFont="1" applyFill="1" applyBorder="1" applyAlignment="1">
      <alignment horizontal="center" vertical="center" wrapText="1"/>
    </xf>
    <xf numFmtId="0" fontId="4" fillId="2" borderId="79" xfId="0" applyFont="1" applyFill="1" applyBorder="1" applyAlignment="1">
      <alignment horizontal="center" vertical="center" wrapText="1"/>
    </xf>
    <xf numFmtId="0" fontId="26" fillId="12" borderId="0" xfId="0" applyFont="1" applyFill="1" applyAlignment="1">
      <alignment horizontal="center" vertical="center"/>
    </xf>
    <xf numFmtId="0" fontId="0" fillId="2" borderId="4" xfId="0" applyFill="1" applyBorder="1" applyAlignment="1">
      <alignment horizontal="center" vertical="center" wrapText="1"/>
    </xf>
    <xf numFmtId="0" fontId="0" fillId="2" borderId="21" xfId="0" applyFill="1" applyBorder="1" applyAlignment="1">
      <alignment horizontal="center" vertical="center" wrapText="1"/>
    </xf>
    <xf numFmtId="0" fontId="0" fillId="24" borderId="3" xfId="0" applyFill="1" applyBorder="1" applyAlignment="1">
      <alignment horizontal="center" vertical="center"/>
    </xf>
    <xf numFmtId="0" fontId="0" fillId="24" borderId="1" xfId="0" applyFill="1" applyBorder="1" applyAlignment="1">
      <alignment horizontal="center" vertical="center"/>
    </xf>
    <xf numFmtId="0" fontId="0" fillId="24" borderId="2" xfId="0" applyFill="1" applyBorder="1" applyAlignment="1">
      <alignment horizontal="center" vertical="center"/>
    </xf>
    <xf numFmtId="0" fontId="0" fillId="8" borderId="3" xfId="0" applyFill="1" applyBorder="1" applyAlignment="1">
      <alignment horizontal="center" vertical="center"/>
    </xf>
    <xf numFmtId="0" fontId="0" fillId="8" borderId="2" xfId="0" applyFill="1" applyBorder="1" applyAlignment="1">
      <alignment horizontal="center" vertical="center"/>
    </xf>
    <xf numFmtId="0" fontId="0" fillId="27" borderId="21" xfId="0" applyFill="1" applyBorder="1" applyAlignment="1">
      <alignment horizontal="center" vertical="center" wrapText="1"/>
    </xf>
    <xf numFmtId="0" fontId="0" fillId="27" borderId="5" xfId="0" applyFill="1" applyBorder="1" applyAlignment="1">
      <alignment horizontal="center" vertical="center" wrapText="1"/>
    </xf>
    <xf numFmtId="0" fontId="4" fillId="25" borderId="3" xfId="0" applyFont="1" applyFill="1" applyBorder="1" applyAlignment="1">
      <alignment horizontal="center" vertical="center"/>
    </xf>
    <xf numFmtId="0" fontId="4" fillId="25" borderId="2" xfId="0" applyFont="1" applyFill="1" applyBorder="1" applyAlignment="1">
      <alignment horizontal="center" vertical="center"/>
    </xf>
    <xf numFmtId="0" fontId="4" fillId="0" borderId="21" xfId="0" applyFont="1" applyBorder="1" applyAlignment="1">
      <alignment horizontal="center" vertical="center" wrapText="1"/>
    </xf>
    <xf numFmtId="0" fontId="4" fillId="0" borderId="68" xfId="0" applyFont="1" applyBorder="1" applyAlignment="1">
      <alignment horizontal="center" vertical="center" wrapText="1"/>
    </xf>
    <xf numFmtId="0" fontId="4" fillId="0" borderId="5" xfId="0" applyFont="1" applyBorder="1" applyAlignment="1">
      <alignment horizontal="center" vertical="center" wrapText="1"/>
    </xf>
    <xf numFmtId="0" fontId="32" fillId="15" borderId="0" xfId="0" applyFont="1" applyFill="1" applyAlignment="1">
      <alignment horizontal="center" vertical="center" textRotation="90"/>
    </xf>
    <xf numFmtId="0" fontId="32" fillId="3" borderId="0" xfId="0" applyFont="1" applyFill="1" applyAlignment="1">
      <alignment horizontal="center" vertical="center" textRotation="90"/>
    </xf>
    <xf numFmtId="0" fontId="8" fillId="0" borderId="3" xfId="0" applyFont="1" applyBorder="1" applyAlignment="1">
      <alignment horizontal="left" vertical="center"/>
    </xf>
    <xf numFmtId="0" fontId="8" fillId="0" borderId="2" xfId="0" applyFont="1" applyBorder="1" applyAlignment="1">
      <alignment horizontal="left" vertical="center"/>
    </xf>
    <xf numFmtId="3" fontId="8" fillId="0" borderId="3" xfId="0" applyNumberFormat="1" applyFont="1" applyBorder="1" applyAlignment="1">
      <alignment horizontal="center" vertical="center"/>
    </xf>
    <xf numFmtId="3" fontId="8" fillId="0" borderId="14" xfId="0" applyNumberFormat="1" applyFont="1" applyBorder="1" applyAlignment="1">
      <alignment horizontal="center" vertical="center"/>
    </xf>
    <xf numFmtId="3" fontId="8" fillId="0" borderId="73" xfId="0" applyNumberFormat="1" applyFont="1" applyBorder="1" applyAlignment="1">
      <alignment horizontal="center" vertical="center"/>
    </xf>
    <xf numFmtId="0" fontId="10" fillId="3" borderId="19" xfId="0" applyFont="1" applyFill="1" applyBorder="1" applyAlignment="1">
      <alignment horizontal="center" vertical="center"/>
    </xf>
    <xf numFmtId="0" fontId="10" fillId="3" borderId="18" xfId="0" applyFont="1" applyFill="1" applyBorder="1" applyAlignment="1">
      <alignment horizontal="center" vertical="center"/>
    </xf>
    <xf numFmtId="0" fontId="10" fillId="3" borderId="34" xfId="0" applyFont="1" applyFill="1" applyBorder="1" applyAlignment="1">
      <alignment horizontal="center" vertical="center"/>
    </xf>
    <xf numFmtId="0" fontId="8" fillId="0" borderId="2" xfId="0" applyFont="1" applyBorder="1" applyAlignment="1">
      <alignment horizontal="center" vertical="center"/>
    </xf>
    <xf numFmtId="3" fontId="8" fillId="0" borderId="1" xfId="0" applyNumberFormat="1" applyFont="1" applyBorder="1" applyAlignment="1">
      <alignment horizontal="center" vertical="center"/>
    </xf>
    <xf numFmtId="3" fontId="8" fillId="0" borderId="2" xfId="0" applyNumberFormat="1" applyFont="1" applyBorder="1" applyAlignment="1">
      <alignment horizontal="center" vertical="center"/>
    </xf>
    <xf numFmtId="0" fontId="8" fillId="0" borderId="3" xfId="0" applyFont="1" applyBorder="1" applyAlignment="1">
      <alignment horizontal="center" vertical="center"/>
    </xf>
    <xf numFmtId="3" fontId="8" fillId="0" borderId="3" xfId="0" applyNumberFormat="1" applyFont="1" applyBorder="1" applyAlignment="1">
      <alignment horizontal="center" vertical="center" wrapText="1"/>
    </xf>
    <xf numFmtId="3" fontId="8" fillId="0" borderId="1" xfId="0" applyNumberFormat="1" applyFont="1" applyBorder="1" applyAlignment="1">
      <alignment horizontal="center" vertical="center" wrapText="1"/>
    </xf>
    <xf numFmtId="3" fontId="8" fillId="0" borderId="2" xfId="0" applyNumberFormat="1" applyFont="1" applyBorder="1" applyAlignment="1">
      <alignment horizontal="center" vertical="center" wrapText="1"/>
    </xf>
    <xf numFmtId="0" fontId="9" fillId="2" borderId="46" xfId="0" applyFont="1" applyFill="1" applyBorder="1" applyAlignment="1">
      <alignment horizontal="right" vertical="center"/>
    </xf>
    <xf numFmtId="9" fontId="8" fillId="0" borderId="3" xfId="12" applyFont="1" applyFill="1" applyBorder="1" applyAlignment="1" applyProtection="1">
      <alignment horizontal="left" vertical="center"/>
    </xf>
    <xf numFmtId="9" fontId="8" fillId="0" borderId="31" xfId="12" applyFont="1" applyFill="1" applyBorder="1" applyAlignment="1" applyProtection="1">
      <alignment horizontal="left" vertical="center"/>
    </xf>
    <xf numFmtId="0" fontId="8" fillId="7" borderId="19" xfId="0" applyFont="1" applyFill="1" applyBorder="1" applyAlignment="1">
      <alignment horizontal="center" vertical="center" wrapText="1"/>
    </xf>
    <xf numFmtId="0" fontId="8" fillId="7" borderId="18" xfId="0" applyFont="1" applyFill="1" applyBorder="1" applyAlignment="1">
      <alignment horizontal="center" vertical="center" wrapText="1"/>
    </xf>
    <xf numFmtId="0" fontId="8" fillId="7" borderId="34" xfId="0" applyFont="1" applyFill="1" applyBorder="1" applyAlignment="1">
      <alignment horizontal="center" vertical="center" wrapText="1"/>
    </xf>
    <xf numFmtId="0" fontId="8" fillId="2" borderId="4" xfId="0" applyFont="1" applyFill="1" applyBorder="1" applyAlignment="1">
      <alignment horizontal="right" vertical="center"/>
    </xf>
    <xf numFmtId="0" fontId="14" fillId="15" borderId="19" xfId="15" applyNumberFormat="1" applyFont="1" applyFill="1" applyBorder="1" applyAlignment="1" applyProtection="1">
      <alignment horizontal="center" vertical="center"/>
    </xf>
    <xf numFmtId="0" fontId="14" fillId="15" borderId="18" xfId="15" applyNumberFormat="1" applyFont="1" applyFill="1" applyBorder="1" applyAlignment="1" applyProtection="1">
      <alignment horizontal="center" vertical="center"/>
    </xf>
    <xf numFmtId="0" fontId="14" fillId="15" borderId="34" xfId="15" applyNumberFormat="1" applyFont="1" applyFill="1" applyBorder="1" applyAlignment="1" applyProtection="1">
      <alignment horizontal="center" vertical="center"/>
    </xf>
    <xf numFmtId="0" fontId="8" fillId="2" borderId="4" xfId="0" applyFont="1" applyFill="1" applyBorder="1" applyAlignment="1">
      <alignment horizontal="left" vertical="center" wrapText="1"/>
    </xf>
    <xf numFmtId="0" fontId="9" fillId="2" borderId="4" xfId="0" applyFont="1" applyFill="1" applyBorder="1" applyAlignment="1">
      <alignment horizontal="center" vertical="center" wrapText="1"/>
    </xf>
    <xf numFmtId="0" fontId="10" fillId="3" borderId="17" xfId="0" applyFont="1" applyFill="1" applyBorder="1" applyAlignment="1">
      <alignment horizontal="center" vertical="center"/>
    </xf>
    <xf numFmtId="0" fontId="10" fillId="3" borderId="53" xfId="0" applyFont="1" applyFill="1" applyBorder="1" applyAlignment="1">
      <alignment horizontal="center" vertical="center" wrapText="1"/>
    </xf>
    <xf numFmtId="0" fontId="10" fillId="3" borderId="54" xfId="0" applyFont="1" applyFill="1" applyBorder="1" applyAlignment="1">
      <alignment horizontal="center" vertical="center" wrapText="1"/>
    </xf>
    <xf numFmtId="0" fontId="10" fillId="3" borderId="66" xfId="0" applyFont="1" applyFill="1" applyBorder="1" applyAlignment="1">
      <alignment horizontal="center" vertical="center" wrapText="1"/>
    </xf>
    <xf numFmtId="0" fontId="10" fillId="3" borderId="29" xfId="0" applyFont="1" applyFill="1" applyBorder="1" applyAlignment="1">
      <alignment horizontal="center" vertical="center" wrapText="1"/>
    </xf>
    <xf numFmtId="0" fontId="10" fillId="3" borderId="15" xfId="0" applyFont="1" applyFill="1" applyBorder="1" applyAlignment="1">
      <alignment horizontal="center" vertical="center" wrapText="1"/>
    </xf>
    <xf numFmtId="0" fontId="10" fillId="3" borderId="42" xfId="0" applyFont="1" applyFill="1" applyBorder="1" applyAlignment="1">
      <alignment horizontal="center" vertical="center" wrapText="1"/>
    </xf>
    <xf numFmtId="9" fontId="8" fillId="0" borderId="3" xfId="12" applyFont="1" applyFill="1" applyBorder="1" applyAlignment="1" applyProtection="1">
      <alignment horizontal="left" vertical="center" wrapText="1"/>
    </xf>
    <xf numFmtId="9" fontId="8" fillId="0" borderId="31" xfId="12" applyFont="1" applyFill="1" applyBorder="1" applyAlignment="1" applyProtection="1">
      <alignment horizontal="left" vertical="center" wrapText="1"/>
    </xf>
    <xf numFmtId="0" fontId="9" fillId="2" borderId="64" xfId="0" applyFont="1" applyFill="1" applyBorder="1" applyAlignment="1">
      <alignment horizontal="left" vertical="center"/>
    </xf>
    <xf numFmtId="0" fontId="9" fillId="2" borderId="10" xfId="0" applyFont="1" applyFill="1" applyBorder="1" applyAlignment="1">
      <alignment horizontal="left" vertical="center"/>
    </xf>
    <xf numFmtId="9" fontId="8" fillId="0" borderId="65" xfId="12" applyFont="1" applyFill="1" applyBorder="1" applyAlignment="1" applyProtection="1">
      <alignment horizontal="left" vertical="center"/>
    </xf>
    <xf numFmtId="9" fontId="8" fillId="0" borderId="47" xfId="12" applyFont="1" applyFill="1" applyBorder="1" applyAlignment="1" applyProtection="1">
      <alignment horizontal="left" vertical="center"/>
    </xf>
    <xf numFmtId="0" fontId="9" fillId="0" borderId="8" xfId="0" applyFont="1" applyBorder="1" applyAlignment="1">
      <alignment horizontal="left" vertical="center"/>
    </xf>
    <xf numFmtId="0" fontId="9" fillId="0" borderId="9" xfId="0" applyFont="1" applyBorder="1" applyAlignment="1">
      <alignment horizontal="left" vertical="center"/>
    </xf>
    <xf numFmtId="0" fontId="8" fillId="0" borderId="9" xfId="0" applyFont="1" applyBorder="1" applyAlignment="1">
      <alignment horizontal="left" vertical="center"/>
    </xf>
    <xf numFmtId="0" fontId="8" fillId="0" borderId="50" xfId="0" applyFont="1" applyBorder="1" applyAlignment="1">
      <alignment horizontal="left" vertical="center"/>
    </xf>
    <xf numFmtId="0" fontId="8" fillId="0" borderId="4" xfId="0" applyFont="1" applyBorder="1" applyAlignment="1">
      <alignment horizontal="left" vertical="center"/>
    </xf>
    <xf numFmtId="0" fontId="8" fillId="0" borderId="33" xfId="0" applyFont="1" applyBorder="1" applyAlignment="1">
      <alignment horizontal="left" vertical="center"/>
    </xf>
    <xf numFmtId="0" fontId="8" fillId="0" borderId="48" xfId="0" applyFont="1" applyBorder="1" applyAlignment="1">
      <alignment horizontal="center" vertical="center"/>
    </xf>
    <xf numFmtId="0" fontId="8" fillId="0" borderId="72" xfId="0" applyFont="1" applyBorder="1" applyAlignment="1">
      <alignment horizontal="left" vertical="center"/>
    </xf>
    <xf numFmtId="0" fontId="8" fillId="0" borderId="46" xfId="0" applyFont="1" applyBorder="1" applyAlignment="1">
      <alignment horizontal="left" vertical="center"/>
    </xf>
    <xf numFmtId="0" fontId="8" fillId="0" borderId="63" xfId="0" applyFont="1" applyBorder="1" applyAlignment="1">
      <alignment horizontal="left" vertical="center"/>
    </xf>
    <xf numFmtId="0" fontId="8" fillId="0" borderId="44" xfId="0" applyFont="1" applyBorder="1" applyAlignment="1">
      <alignment horizontal="left" vertical="center"/>
    </xf>
    <xf numFmtId="0" fontId="10" fillId="3" borderId="40" xfId="0" applyFont="1" applyFill="1" applyBorder="1" applyAlignment="1">
      <alignment horizontal="center" vertical="center" wrapText="1"/>
    </xf>
    <xf numFmtId="0" fontId="11" fillId="3" borderId="19" xfId="0" applyFont="1" applyFill="1" applyBorder="1" applyAlignment="1">
      <alignment horizontal="center" vertical="center"/>
    </xf>
    <xf numFmtId="0" fontId="11" fillId="3" borderId="18" xfId="0" applyFont="1" applyFill="1" applyBorder="1" applyAlignment="1">
      <alignment horizontal="center" vertical="center"/>
    </xf>
    <xf numFmtId="0" fontId="11" fillId="3" borderId="34" xfId="0" applyFont="1" applyFill="1" applyBorder="1" applyAlignment="1">
      <alignment horizontal="center" vertical="center"/>
    </xf>
    <xf numFmtId="0" fontId="8" fillId="0" borderId="3" xfId="0" applyFont="1" applyBorder="1" applyAlignment="1">
      <alignment horizontal="center" vertical="center" wrapText="1"/>
    </xf>
    <xf numFmtId="0" fontId="8" fillId="0" borderId="1" xfId="0" applyFont="1" applyBorder="1" applyAlignment="1">
      <alignment horizontal="center" vertical="center" wrapText="1"/>
    </xf>
    <xf numFmtId="0" fontId="8" fillId="0" borderId="2" xfId="0" applyFont="1" applyBorder="1" applyAlignment="1">
      <alignment horizontal="center" vertical="center" wrapText="1"/>
    </xf>
    <xf numFmtId="0" fontId="9" fillId="0" borderId="46" xfId="0" applyFont="1" applyBorder="1" applyAlignment="1">
      <alignment horizontal="right" vertical="center"/>
    </xf>
    <xf numFmtId="0" fontId="8" fillId="0" borderId="1" xfId="0" applyFont="1" applyBorder="1" applyAlignment="1">
      <alignment horizontal="left" vertical="center" wrapText="1"/>
    </xf>
    <xf numFmtId="0" fontId="9" fillId="2" borderId="17" xfId="0" applyFont="1" applyFill="1" applyBorder="1" applyAlignment="1">
      <alignment horizontal="center" vertical="center" wrapText="1"/>
    </xf>
    <xf numFmtId="0" fontId="9" fillId="2" borderId="18" xfId="0" applyFont="1" applyFill="1" applyBorder="1" applyAlignment="1">
      <alignment horizontal="center" vertical="center" wrapText="1"/>
    </xf>
    <xf numFmtId="0" fontId="9" fillId="2" borderId="38" xfId="0" applyFont="1" applyFill="1" applyBorder="1" applyAlignment="1">
      <alignment horizontal="center" vertical="center" wrapText="1"/>
    </xf>
    <xf numFmtId="0" fontId="9" fillId="0" borderId="64" xfId="0" applyFont="1" applyBorder="1" applyAlignment="1">
      <alignment horizontal="right" vertical="center"/>
    </xf>
    <xf numFmtId="0" fontId="9" fillId="0" borderId="10" xfId="0" applyFont="1" applyBorder="1" applyAlignment="1">
      <alignment horizontal="right" vertical="center"/>
    </xf>
    <xf numFmtId="0" fontId="9" fillId="0" borderId="16" xfId="0" applyFont="1" applyBorder="1" applyAlignment="1">
      <alignment horizontal="right" vertical="center"/>
    </xf>
    <xf numFmtId="0" fontId="9" fillId="2" borderId="17" xfId="0" applyFont="1" applyFill="1" applyBorder="1" applyAlignment="1">
      <alignment horizontal="left" vertical="center" wrapText="1"/>
    </xf>
    <xf numFmtId="0" fontId="9" fillId="2" borderId="18" xfId="0" applyFont="1" applyFill="1" applyBorder="1" applyAlignment="1">
      <alignment horizontal="left" vertical="center" wrapText="1"/>
    </xf>
    <xf numFmtId="0" fontId="9" fillId="2" borderId="34" xfId="0" applyFont="1" applyFill="1" applyBorder="1" applyAlignment="1">
      <alignment horizontal="left" vertical="center" wrapText="1"/>
    </xf>
    <xf numFmtId="0" fontId="0" fillId="2" borderId="3" xfId="0" applyFill="1" applyBorder="1" applyAlignment="1">
      <alignment horizontal="center" vertical="center"/>
    </xf>
    <xf numFmtId="0" fontId="0" fillId="2" borderId="2" xfId="0" applyFill="1" applyBorder="1" applyAlignment="1">
      <alignment horizontal="center" vertical="center"/>
    </xf>
    <xf numFmtId="0" fontId="0" fillId="2" borderId="1" xfId="0" applyFill="1" applyBorder="1" applyAlignment="1">
      <alignment horizontal="center" vertical="center"/>
    </xf>
    <xf numFmtId="0" fontId="0" fillId="2" borderId="4" xfId="0" applyFill="1" applyBorder="1" applyAlignment="1">
      <alignment horizontal="left" vertical="center" wrapText="1"/>
    </xf>
    <xf numFmtId="0" fontId="0" fillId="2" borderId="3" xfId="0" applyFill="1" applyBorder="1" applyAlignment="1">
      <alignment horizontal="left" vertical="center"/>
    </xf>
    <xf numFmtId="0" fontId="0" fillId="2" borderId="2" xfId="0" applyFill="1" applyBorder="1" applyAlignment="1">
      <alignment horizontal="left" vertical="center"/>
    </xf>
    <xf numFmtId="0" fontId="0" fillId="2" borderId="4" xfId="0" applyFill="1" applyBorder="1" applyAlignment="1">
      <alignment horizontal="center" vertical="center"/>
    </xf>
    <xf numFmtId="0" fontId="10" fillId="3" borderId="25" xfId="0" applyFont="1" applyFill="1" applyBorder="1" applyAlignment="1">
      <alignment horizontal="center" vertical="center" wrapText="1"/>
    </xf>
    <xf numFmtId="0" fontId="10" fillId="3" borderId="26" xfId="0" applyFont="1" applyFill="1" applyBorder="1" applyAlignment="1">
      <alignment horizontal="center" vertical="center" wrapText="1"/>
    </xf>
    <xf numFmtId="0" fontId="10" fillId="3" borderId="71" xfId="0" applyFont="1" applyFill="1" applyBorder="1" applyAlignment="1">
      <alignment horizontal="center" vertical="center" wrapText="1"/>
    </xf>
    <xf numFmtId="0" fontId="10" fillId="3" borderId="51" xfId="0" applyFont="1" applyFill="1" applyBorder="1" applyAlignment="1">
      <alignment horizontal="center" vertical="center" wrapText="1"/>
    </xf>
    <xf numFmtId="0" fontId="10" fillId="3" borderId="39" xfId="0" applyFont="1" applyFill="1" applyBorder="1" applyAlignment="1">
      <alignment horizontal="center" vertical="center" wrapText="1"/>
    </xf>
    <xf numFmtId="0" fontId="0" fillId="2" borderId="21" xfId="0" applyFill="1" applyBorder="1" applyAlignment="1">
      <alignment horizontal="center" vertical="center"/>
    </xf>
    <xf numFmtId="0" fontId="0" fillId="2" borderId="21" xfId="0" applyFill="1" applyBorder="1" applyAlignment="1">
      <alignment horizontal="left" vertical="center" wrapText="1"/>
    </xf>
  </cellXfs>
  <cellStyles count="21">
    <cellStyle name="Euro" xfId="1" xr:uid="{00000000-0005-0000-0000-000000000000}"/>
    <cellStyle name="Lien hypertexte" xfId="7" builtinId="8" hidden="1"/>
    <cellStyle name="Lien hypertexte" xfId="5" builtinId="8" hidden="1"/>
    <cellStyle name="Lien hypertexte" xfId="3" builtinId="8" hidden="1"/>
    <cellStyle name="Lien hypertexte visité" xfId="8" builtinId="9" hidden="1"/>
    <cellStyle name="Lien hypertexte visité" xfId="6" builtinId="9" hidden="1"/>
    <cellStyle name="Lien hypertexte visité" xfId="4" builtinId="9" hidden="1"/>
    <cellStyle name="Milliers" xfId="20" builtinId="3"/>
    <cellStyle name="Milliers 2" xfId="18" xr:uid="{00000000-0005-0000-0000-000007000000}"/>
    <cellStyle name="Milliers_Fiche budget 7" xfId="15" xr:uid="{00000000-0005-0000-0000-000008000000}"/>
    <cellStyle name="Monétaire 2" xfId="16" xr:uid="{00000000-0005-0000-0000-000009000000}"/>
    <cellStyle name="Monétaire 3" xfId="19" xr:uid="{00000000-0005-0000-0000-00000A000000}"/>
    <cellStyle name="Monétaire_Fiche budget 7" xfId="14" xr:uid="{00000000-0005-0000-0000-00000B000000}"/>
    <cellStyle name="Normal" xfId="0" builtinId="0"/>
    <cellStyle name="Normal 2" xfId="2" xr:uid="{00000000-0005-0000-0000-00000D000000}"/>
    <cellStyle name="Normal 3" xfId="10" xr:uid="{00000000-0005-0000-0000-00000E000000}"/>
    <cellStyle name="Normal 4" xfId="13" xr:uid="{00000000-0005-0000-0000-00000F000000}"/>
    <cellStyle name="Normal 5" xfId="17" xr:uid="{00000000-0005-0000-0000-000010000000}"/>
    <cellStyle name="Pourcentage" xfId="9" builtinId="5"/>
    <cellStyle name="Pourcentage 2" xfId="11" xr:uid="{00000000-0005-0000-0000-000012000000}"/>
    <cellStyle name="Pourcentage 3" xfId="12" xr:uid="{00000000-0005-0000-0000-000013000000}"/>
  </cellStyles>
  <dxfs count="42">
    <dxf>
      <font>
        <color rgb="FFFF0000"/>
      </font>
    </dxf>
    <dxf>
      <font>
        <color rgb="FF009A46"/>
      </font>
      <fill>
        <patternFill>
          <bgColor theme="0"/>
        </patternFill>
      </fill>
    </dxf>
    <dxf>
      <font>
        <color rgb="FFE84242"/>
      </font>
      <fill>
        <patternFill patternType="none">
          <bgColor auto="1"/>
        </patternFill>
      </fill>
    </dxf>
    <dxf>
      <font>
        <color rgb="FFFF0000"/>
      </font>
      <fill>
        <patternFill>
          <fgColor auto="1"/>
        </patternFill>
      </fill>
    </dxf>
    <dxf>
      <font>
        <color rgb="FFFF0000"/>
      </font>
    </dxf>
    <dxf>
      <font>
        <color rgb="FFFF0000"/>
      </font>
    </dxf>
    <dxf>
      <font>
        <color rgb="FFFF0000"/>
      </font>
    </dxf>
    <dxf>
      <font>
        <color rgb="FF009A46"/>
      </font>
      <fill>
        <patternFill>
          <bgColor theme="0"/>
        </patternFill>
      </fill>
    </dxf>
    <dxf>
      <font>
        <color rgb="FFE84242"/>
      </font>
      <fill>
        <patternFill patternType="none">
          <bgColor auto="1"/>
        </patternFill>
      </fill>
    </dxf>
    <dxf>
      <font>
        <color rgb="FF009A46"/>
      </font>
      <fill>
        <patternFill>
          <bgColor theme="0"/>
        </patternFill>
      </fill>
    </dxf>
    <dxf>
      <font>
        <color rgb="FFE84242"/>
      </font>
      <fill>
        <patternFill patternType="none">
          <bgColor auto="1"/>
        </patternFill>
      </fill>
    </dxf>
    <dxf>
      <font>
        <color rgb="FFFF0000"/>
      </font>
    </dxf>
    <dxf>
      <font>
        <color rgb="FFFF0000"/>
      </font>
      <fill>
        <patternFill>
          <fgColor auto="1"/>
        </patternFill>
      </fill>
    </dxf>
    <dxf>
      <font>
        <color rgb="FF009A46"/>
      </font>
      <fill>
        <patternFill>
          <bgColor theme="0"/>
        </patternFill>
      </fill>
    </dxf>
    <dxf>
      <font>
        <color rgb="FFE84242"/>
      </font>
      <fill>
        <patternFill patternType="none">
          <bgColor auto="1"/>
        </patternFill>
      </fill>
    </dxf>
    <dxf>
      <font>
        <color rgb="FFFF0000"/>
      </font>
    </dxf>
    <dxf>
      <font>
        <color rgb="FFFF0000"/>
      </font>
    </dxf>
    <dxf>
      <font>
        <color rgb="FFFF0000"/>
      </font>
    </dxf>
    <dxf>
      <font>
        <color rgb="FF009A46"/>
      </font>
      <fill>
        <patternFill>
          <bgColor theme="0"/>
        </patternFill>
      </fill>
    </dxf>
    <dxf>
      <font>
        <color rgb="FFE84242"/>
      </font>
      <fill>
        <patternFill patternType="none">
          <bgColor auto="1"/>
        </patternFill>
      </fill>
    </dxf>
    <dxf>
      <font>
        <color rgb="FF009A46"/>
      </font>
      <fill>
        <patternFill>
          <bgColor theme="0"/>
        </patternFill>
      </fill>
    </dxf>
    <dxf>
      <font>
        <color rgb="FFE84242"/>
      </font>
      <fill>
        <patternFill patternType="none">
          <bgColor auto="1"/>
        </patternFill>
      </fill>
    </dxf>
    <dxf>
      <font>
        <color rgb="FFE84242"/>
      </font>
    </dxf>
    <dxf>
      <font>
        <color rgb="FFE84242"/>
      </font>
    </dxf>
    <dxf>
      <font>
        <color rgb="FFE84242"/>
      </font>
    </dxf>
    <dxf>
      <font>
        <color rgb="FFE84242"/>
      </font>
      <fill>
        <patternFill patternType="none">
          <bgColor auto="1"/>
        </patternFill>
      </fill>
    </dxf>
    <dxf>
      <font>
        <color rgb="FF009A46"/>
      </font>
      <fill>
        <patternFill>
          <bgColor theme="0"/>
        </patternFill>
      </fill>
    </dxf>
    <dxf>
      <font>
        <color rgb="FFE84242"/>
      </font>
      <fill>
        <patternFill patternType="none">
          <bgColor auto="1"/>
        </patternFill>
      </fill>
    </dxf>
    <dxf>
      <font>
        <color rgb="FF009A46"/>
      </font>
      <fill>
        <patternFill>
          <bgColor theme="0"/>
        </patternFill>
      </fill>
    </dxf>
    <dxf>
      <font>
        <color rgb="FFE84242"/>
      </font>
      <fill>
        <patternFill patternType="none">
          <bgColor auto="1"/>
        </patternFill>
      </fill>
    </dxf>
    <dxf>
      <font>
        <color rgb="FF009A46"/>
      </font>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ont>
        <color rgb="FFE84242"/>
      </font>
      <fill>
        <patternFill patternType="none">
          <bgColor auto="1"/>
        </patternFill>
      </fill>
    </dxf>
    <dxf>
      <font>
        <color rgb="FF009A46"/>
      </font>
      <fill>
        <patternFill>
          <bgColor theme="0"/>
        </patternFill>
      </fill>
    </dxf>
    <dxf>
      <font>
        <color rgb="FFE84242"/>
      </font>
      <fill>
        <patternFill patternType="none">
          <bgColor auto="1"/>
        </patternFill>
      </fill>
    </dxf>
    <dxf>
      <fill>
        <patternFill>
          <fgColor rgb="FFFF3300"/>
          <bgColor rgb="FFFF3300"/>
        </patternFill>
      </fill>
    </dxf>
    <dxf>
      <fill>
        <patternFill>
          <bgColor rgb="FFF8EDEC"/>
        </patternFill>
      </fill>
    </dxf>
    <dxf>
      <font>
        <color rgb="FF009A46"/>
      </font>
      <fill>
        <patternFill>
          <bgColor theme="0"/>
        </patternFill>
      </fill>
    </dxf>
  </dxfs>
  <tableStyles count="0" defaultTableStyle="TableStyleMedium2" defaultPivotStyle="PivotStyleLight16"/>
  <colors>
    <mruColors>
      <color rgb="FFFF8B8B"/>
      <color rgb="FFF8EDEC"/>
      <color rgb="FFFFFFE1"/>
      <color rgb="FFF1EFE7"/>
      <color rgb="FFFFC9C9"/>
      <color rgb="FFEAEAEA"/>
      <color rgb="FFF8F8F8"/>
      <color rgb="FFCCECFF"/>
      <color rgb="FFFFFFCC"/>
      <color rgb="FFFF33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eetMetadata" Target="metadata.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cid:image003.png@01DAC0D6.EE966920" TargetMode="External"/><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200026</xdr:colOff>
      <xdr:row>16</xdr:row>
      <xdr:rowOff>1</xdr:rowOff>
    </xdr:from>
    <xdr:to>
      <xdr:col>2</xdr:col>
      <xdr:colOff>657226</xdr:colOff>
      <xdr:row>16</xdr:row>
      <xdr:rowOff>592761</xdr:rowOff>
    </xdr:to>
    <xdr:pic>
      <xdr:nvPicPr>
        <xdr:cNvPr id="2" name="Image 2" descr="cid:image003.png@01DAC0D6.EE966920">
          <a:extLst>
            <a:ext uri="{FF2B5EF4-FFF2-40B4-BE49-F238E27FC236}">
              <a16:creationId xmlns:a16="http://schemas.microsoft.com/office/drawing/2014/main" id="{C1003C5D-001F-47E6-9E3B-79393012B54C}"/>
            </a:ext>
          </a:extLst>
        </xdr:cNvPr>
        <xdr:cNvPicPr>
          <a:picLocks noChangeAspect="1" noChangeArrowheads="1"/>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962026" y="2495551"/>
          <a:ext cx="1219200" cy="5927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B7E765-5F4A-4542-8107-2E31F2891136}">
  <sheetPr>
    <tabColor theme="1" tint="0.34998626667073579"/>
  </sheetPr>
  <dimension ref="B2:U39"/>
  <sheetViews>
    <sheetView zoomScale="90" zoomScaleNormal="90" workbookViewId="0">
      <selection activeCell="O17" sqref="O17"/>
    </sheetView>
  </sheetViews>
  <sheetFormatPr baseColWidth="10" defaultColWidth="11.453125" defaultRowHeight="13.5" x14ac:dyDescent="0.35"/>
  <cols>
    <col min="1" max="1" width="5.26953125" style="632" customWidth="1"/>
    <col min="2" max="10" width="11.453125" style="632"/>
    <col min="11" max="11" width="5.54296875" style="632" customWidth="1"/>
    <col min="12" max="16384" width="11.453125" style="632"/>
  </cols>
  <sheetData>
    <row r="2" spans="2:21" ht="14.5" x14ac:dyDescent="0.35">
      <c r="B2" s="770" t="s">
        <v>0</v>
      </c>
      <c r="C2" s="770"/>
      <c r="D2" s="770"/>
      <c r="E2" s="770"/>
      <c r="F2" s="770"/>
      <c r="G2" s="770"/>
      <c r="H2" s="770"/>
      <c r="I2" s="770"/>
      <c r="J2" s="770"/>
    </row>
    <row r="3" spans="2:21" x14ac:dyDescent="0.35">
      <c r="B3" s="633"/>
      <c r="C3" s="633"/>
      <c r="D3" s="633"/>
      <c r="E3" s="633"/>
      <c r="F3" s="633"/>
      <c r="G3" s="633"/>
      <c r="H3" s="633"/>
      <c r="I3" s="633"/>
      <c r="J3" s="633"/>
    </row>
    <row r="4" spans="2:21" ht="14.5" x14ac:dyDescent="0.35">
      <c r="B4" s="710" t="s">
        <v>1</v>
      </c>
      <c r="C4" s="633"/>
      <c r="D4" s="633"/>
      <c r="E4" s="633"/>
      <c r="F4" s="633"/>
      <c r="G4" s="633"/>
      <c r="H4" s="633"/>
      <c r="I4" s="633"/>
      <c r="J4" s="633"/>
      <c r="L4" s="770" t="s">
        <v>2</v>
      </c>
      <c r="M4" s="770"/>
      <c r="N4" s="770"/>
      <c r="O4" s="770"/>
      <c r="P4" s="770"/>
      <c r="Q4" s="770"/>
      <c r="R4" s="770"/>
      <c r="S4" s="770"/>
      <c r="T4" s="770"/>
      <c r="U4" s="770"/>
    </row>
    <row r="5" spans="2:21" x14ac:dyDescent="0.35">
      <c r="B5" s="710" t="s">
        <v>3</v>
      </c>
      <c r="C5" s="633"/>
      <c r="D5" s="633"/>
      <c r="E5" s="633"/>
      <c r="F5" s="633"/>
      <c r="G5" s="633"/>
      <c r="H5" s="633"/>
      <c r="I5" s="633"/>
      <c r="J5" s="633"/>
      <c r="L5" s="633"/>
      <c r="M5" s="633"/>
      <c r="N5" s="633"/>
      <c r="O5" s="633"/>
      <c r="P5" s="633"/>
      <c r="Q5" s="633"/>
      <c r="R5" s="633"/>
      <c r="S5" s="633"/>
      <c r="T5" s="633"/>
      <c r="U5" s="633"/>
    </row>
    <row r="6" spans="2:21" x14ac:dyDescent="0.35">
      <c r="B6" s="633"/>
      <c r="C6" s="633"/>
      <c r="D6" s="633"/>
      <c r="E6" s="633"/>
      <c r="F6" s="633"/>
      <c r="G6" s="633"/>
      <c r="H6" s="633"/>
      <c r="I6" s="633"/>
      <c r="J6" s="633"/>
      <c r="L6" s="634" t="s">
        <v>4</v>
      </c>
      <c r="M6" s="633"/>
      <c r="N6" s="633"/>
      <c r="O6" s="633"/>
      <c r="P6" s="633"/>
      <c r="Q6" s="633"/>
      <c r="R6" s="633"/>
      <c r="S6" s="633"/>
      <c r="T6" s="633"/>
      <c r="U6" s="633"/>
    </row>
    <row r="7" spans="2:21" x14ac:dyDescent="0.35">
      <c r="B7" s="634" t="s">
        <v>5</v>
      </c>
      <c r="C7" s="633"/>
      <c r="D7" s="633"/>
      <c r="E7" s="633"/>
      <c r="F7" s="633"/>
      <c r="G7" s="633"/>
      <c r="H7" s="633"/>
      <c r="I7" s="633"/>
      <c r="J7" s="633"/>
      <c r="L7" s="633" t="s">
        <v>6</v>
      </c>
      <c r="M7" s="633"/>
      <c r="N7" s="633"/>
      <c r="O7" s="633"/>
      <c r="P7" s="633"/>
      <c r="Q7" s="633"/>
      <c r="R7" s="633"/>
      <c r="S7" s="633"/>
      <c r="T7" s="633"/>
      <c r="U7" s="633"/>
    </row>
    <row r="8" spans="2:21" x14ac:dyDescent="0.35">
      <c r="B8" s="633" t="s">
        <v>7</v>
      </c>
      <c r="C8" s="633"/>
      <c r="D8" s="633"/>
      <c r="E8" s="633"/>
      <c r="F8" s="633"/>
      <c r="G8" s="633"/>
      <c r="H8" s="633"/>
      <c r="I8" s="633"/>
      <c r="J8" s="633"/>
      <c r="L8" s="633" t="s">
        <v>8</v>
      </c>
      <c r="M8" s="633"/>
      <c r="N8" s="633"/>
      <c r="O8" s="633"/>
      <c r="P8" s="633"/>
      <c r="Q8" s="633"/>
      <c r="R8" s="633"/>
      <c r="S8" s="633"/>
      <c r="T8" s="633"/>
      <c r="U8" s="633"/>
    </row>
    <row r="9" spans="2:21" x14ac:dyDescent="0.35">
      <c r="B9" s="633" t="s">
        <v>9</v>
      </c>
      <c r="C9" s="633"/>
      <c r="D9" s="633"/>
      <c r="E9" s="633"/>
      <c r="F9" s="633"/>
      <c r="G9" s="633"/>
      <c r="H9" s="633"/>
      <c r="I9" s="633"/>
      <c r="J9" s="633"/>
      <c r="L9" s="633" t="s">
        <v>10</v>
      </c>
      <c r="M9" s="633"/>
      <c r="N9" s="633"/>
      <c r="O9" s="633"/>
      <c r="P9" s="633"/>
      <c r="Q9" s="633"/>
      <c r="R9" s="633"/>
      <c r="S9" s="633"/>
      <c r="T9" s="633"/>
      <c r="U9" s="633"/>
    </row>
    <row r="10" spans="2:21" x14ac:dyDescent="0.35">
      <c r="B10" s="633"/>
      <c r="C10" s="633"/>
      <c r="D10" s="633"/>
      <c r="E10" s="633"/>
      <c r="F10" s="633"/>
      <c r="G10" s="633"/>
      <c r="H10" s="633"/>
      <c r="I10" s="633"/>
      <c r="J10" s="633"/>
      <c r="L10" s="633" t="s">
        <v>11</v>
      </c>
      <c r="M10" s="633"/>
      <c r="N10" s="633"/>
      <c r="O10" s="633"/>
      <c r="P10" s="633"/>
      <c r="Q10" s="633"/>
      <c r="R10" s="633"/>
      <c r="S10" s="633"/>
      <c r="T10" s="633"/>
      <c r="U10" s="633"/>
    </row>
    <row r="11" spans="2:21" x14ac:dyDescent="0.35">
      <c r="B11" s="634" t="s">
        <v>12</v>
      </c>
      <c r="C11" s="633"/>
      <c r="D11" s="633"/>
      <c r="E11" s="633"/>
      <c r="F11" s="633"/>
      <c r="G11" s="633"/>
      <c r="H11" s="633"/>
      <c r="I11" s="633"/>
      <c r="J11" s="633"/>
      <c r="L11" s="633" t="s">
        <v>13</v>
      </c>
      <c r="M11" s="633"/>
      <c r="N11" s="633"/>
      <c r="O11" s="633"/>
      <c r="P11" s="633"/>
      <c r="Q11" s="633"/>
      <c r="R11" s="633"/>
      <c r="S11" s="633"/>
      <c r="T11" s="633"/>
      <c r="U11" s="633"/>
    </row>
    <row r="12" spans="2:21" x14ac:dyDescent="0.35">
      <c r="B12" s="633" t="s">
        <v>14</v>
      </c>
      <c r="C12" s="633"/>
      <c r="D12" s="633"/>
      <c r="E12" s="633"/>
      <c r="F12" s="633"/>
      <c r="G12" s="633"/>
      <c r="H12" s="633"/>
      <c r="I12" s="633"/>
      <c r="J12" s="633"/>
      <c r="L12" s="633" t="s">
        <v>15</v>
      </c>
      <c r="M12" s="633"/>
      <c r="N12" s="633"/>
      <c r="O12" s="633"/>
      <c r="P12" s="633"/>
      <c r="Q12" s="633"/>
      <c r="R12" s="633"/>
      <c r="S12" s="633"/>
      <c r="T12" s="633"/>
      <c r="U12" s="633"/>
    </row>
    <row r="13" spans="2:21" x14ac:dyDescent="0.35">
      <c r="B13" s="633"/>
      <c r="C13" s="633"/>
      <c r="D13" s="633"/>
      <c r="E13" s="633"/>
      <c r="F13" s="633"/>
      <c r="G13" s="633"/>
      <c r="H13" s="633"/>
      <c r="I13" s="633"/>
      <c r="J13" s="633"/>
      <c r="L13" s="633"/>
      <c r="M13" s="633"/>
      <c r="N13" s="633"/>
      <c r="O13" s="633"/>
      <c r="P13" s="633"/>
      <c r="Q13" s="633"/>
      <c r="R13" s="633"/>
      <c r="S13" s="633"/>
      <c r="T13" s="633"/>
      <c r="U13" s="633"/>
    </row>
    <row r="14" spans="2:21" x14ac:dyDescent="0.35">
      <c r="B14" s="634" t="s">
        <v>16</v>
      </c>
      <c r="C14" s="633"/>
      <c r="D14" s="633"/>
      <c r="E14" s="633"/>
      <c r="F14" s="633"/>
      <c r="G14" s="633"/>
      <c r="H14" s="633"/>
      <c r="I14" s="633"/>
      <c r="J14" s="633"/>
      <c r="L14" s="633" t="s">
        <v>17</v>
      </c>
      <c r="M14" s="633"/>
      <c r="N14" s="633"/>
      <c r="O14" s="633"/>
      <c r="P14" s="633"/>
      <c r="Q14" s="633"/>
      <c r="R14" s="633"/>
      <c r="S14" s="633"/>
      <c r="T14" s="633"/>
      <c r="U14" s="633"/>
    </row>
    <row r="15" spans="2:21" x14ac:dyDescent="0.35">
      <c r="B15" s="633" t="s">
        <v>18</v>
      </c>
      <c r="C15" s="633"/>
      <c r="D15" s="633"/>
      <c r="E15" s="633"/>
      <c r="F15" s="633"/>
      <c r="G15" s="633"/>
      <c r="H15" s="633"/>
      <c r="I15" s="633"/>
      <c r="J15" s="633"/>
      <c r="L15" s="633" t="s">
        <v>19</v>
      </c>
      <c r="M15" s="633"/>
      <c r="N15" s="633"/>
      <c r="O15" s="633"/>
      <c r="P15" s="633"/>
      <c r="Q15" s="633"/>
      <c r="R15" s="633"/>
      <c r="S15" s="633"/>
      <c r="T15" s="633"/>
      <c r="U15" s="633"/>
    </row>
    <row r="16" spans="2:21" x14ac:dyDescent="0.35">
      <c r="B16" s="633" t="s">
        <v>20</v>
      </c>
      <c r="C16" s="633"/>
      <c r="D16" s="633"/>
      <c r="E16" s="633"/>
      <c r="F16" s="633"/>
      <c r="G16" s="633"/>
      <c r="H16" s="633"/>
      <c r="I16" s="633"/>
      <c r="J16" s="633"/>
      <c r="L16" s="633" t="s">
        <v>21</v>
      </c>
      <c r="M16" s="633"/>
      <c r="N16" s="633"/>
      <c r="O16" s="633"/>
      <c r="P16" s="633"/>
      <c r="Q16" s="633"/>
      <c r="R16" s="633"/>
      <c r="S16" s="633"/>
      <c r="T16" s="633"/>
      <c r="U16" s="633"/>
    </row>
    <row r="17" spans="2:21" ht="51.75" customHeight="1" x14ac:dyDescent="0.35">
      <c r="B17" s="633"/>
      <c r="C17" s="633"/>
      <c r="D17" s="633"/>
      <c r="E17" s="633"/>
      <c r="F17" s="633"/>
      <c r="G17" s="633"/>
      <c r="H17" s="633"/>
      <c r="I17" s="633"/>
      <c r="J17" s="633"/>
      <c r="L17" s="714" t="s">
        <v>22</v>
      </c>
      <c r="M17" s="633"/>
      <c r="N17" s="633"/>
      <c r="O17" s="633"/>
      <c r="P17" s="633"/>
      <c r="Q17" s="633"/>
      <c r="R17" s="633"/>
      <c r="S17" s="633"/>
      <c r="T17" s="633"/>
      <c r="U17" s="633"/>
    </row>
    <row r="18" spans="2:21" x14ac:dyDescent="0.35">
      <c r="B18" s="633" t="s">
        <v>23</v>
      </c>
      <c r="C18" s="633"/>
      <c r="D18" s="633"/>
      <c r="E18" s="633"/>
      <c r="F18" s="633"/>
      <c r="G18" s="633"/>
      <c r="H18" s="633"/>
      <c r="I18" s="633"/>
      <c r="J18" s="633"/>
      <c r="L18" s="634" t="s">
        <v>24</v>
      </c>
      <c r="M18" s="633"/>
      <c r="N18" s="633"/>
      <c r="O18" s="633"/>
      <c r="P18" s="633"/>
      <c r="Q18" s="633"/>
      <c r="R18" s="633"/>
      <c r="S18" s="633"/>
      <c r="T18" s="633"/>
      <c r="U18" s="633"/>
    </row>
    <row r="19" spans="2:21" x14ac:dyDescent="0.35">
      <c r="B19" s="633" t="s">
        <v>25</v>
      </c>
      <c r="C19" s="633"/>
      <c r="D19" s="633"/>
      <c r="E19" s="633"/>
      <c r="F19" s="633"/>
      <c r="G19" s="633"/>
      <c r="H19" s="633"/>
      <c r="I19" s="633"/>
      <c r="J19" s="633"/>
      <c r="L19" s="714" t="s">
        <v>26</v>
      </c>
      <c r="M19" s="633"/>
      <c r="N19" s="633"/>
      <c r="O19" s="633"/>
      <c r="P19" s="633"/>
      <c r="Q19" s="633"/>
      <c r="R19" s="633"/>
      <c r="S19" s="633"/>
      <c r="T19" s="633"/>
      <c r="U19" s="633"/>
    </row>
    <row r="20" spans="2:21" x14ac:dyDescent="0.35">
      <c r="B20" s="633"/>
      <c r="C20" s="633"/>
      <c r="D20" s="633"/>
      <c r="E20" s="633"/>
      <c r="F20" s="633"/>
      <c r="G20" s="633"/>
      <c r="H20" s="633"/>
      <c r="I20" s="633"/>
      <c r="J20" s="633"/>
      <c r="L20" s="633"/>
      <c r="M20" s="633"/>
      <c r="N20" s="633"/>
      <c r="O20" s="633"/>
      <c r="P20" s="633"/>
      <c r="Q20" s="633"/>
      <c r="R20" s="633"/>
      <c r="S20" s="633"/>
      <c r="T20" s="633"/>
      <c r="U20" s="633"/>
    </row>
    <row r="21" spans="2:21" x14ac:dyDescent="0.35">
      <c r="B21" s="634" t="s">
        <v>27</v>
      </c>
      <c r="C21" s="633"/>
      <c r="D21" s="633"/>
      <c r="E21" s="633"/>
      <c r="F21" s="633"/>
      <c r="G21" s="633"/>
      <c r="H21" s="633"/>
      <c r="I21" s="633"/>
      <c r="J21" s="633"/>
      <c r="L21" s="634" t="s">
        <v>28</v>
      </c>
      <c r="M21" s="633"/>
      <c r="N21" s="633"/>
      <c r="O21" s="633"/>
      <c r="P21" s="633"/>
      <c r="Q21" s="633"/>
      <c r="R21" s="633"/>
      <c r="S21" s="633"/>
      <c r="T21" s="633"/>
      <c r="U21" s="633"/>
    </row>
    <row r="22" spans="2:21" x14ac:dyDescent="0.35">
      <c r="B22" s="633" t="s">
        <v>29</v>
      </c>
      <c r="C22" s="633"/>
      <c r="D22" s="633"/>
      <c r="E22" s="633"/>
      <c r="F22" s="633"/>
      <c r="G22" s="633"/>
      <c r="H22" s="633"/>
      <c r="I22" s="633"/>
      <c r="J22" s="633"/>
      <c r="L22" s="633" t="s">
        <v>30</v>
      </c>
      <c r="M22" s="633"/>
      <c r="N22" s="633"/>
      <c r="O22" s="633"/>
      <c r="P22" s="633"/>
      <c r="Q22" s="633"/>
      <c r="R22" s="633"/>
      <c r="S22" s="633"/>
      <c r="T22" s="633"/>
      <c r="U22" s="633"/>
    </row>
    <row r="23" spans="2:21" x14ac:dyDescent="0.35">
      <c r="B23" s="633"/>
      <c r="C23" s="633"/>
      <c r="D23" s="633"/>
      <c r="E23" s="633"/>
      <c r="F23" s="633"/>
      <c r="G23" s="633"/>
      <c r="H23" s="633"/>
      <c r="I23" s="633"/>
      <c r="J23" s="633"/>
      <c r="L23" s="633"/>
      <c r="M23" s="633"/>
      <c r="N23" s="633"/>
      <c r="O23" s="633"/>
      <c r="P23" s="633"/>
      <c r="Q23" s="633"/>
      <c r="R23" s="633"/>
      <c r="S23" s="633"/>
      <c r="T23" s="633"/>
      <c r="U23" s="633"/>
    </row>
    <row r="24" spans="2:21" x14ac:dyDescent="0.35">
      <c r="B24" s="634" t="s">
        <v>31</v>
      </c>
      <c r="C24" s="633"/>
      <c r="D24" s="633"/>
      <c r="E24" s="633"/>
      <c r="F24" s="633"/>
      <c r="G24" s="633"/>
      <c r="H24" s="633"/>
      <c r="I24" s="633"/>
      <c r="J24" s="633"/>
    </row>
    <row r="25" spans="2:21" x14ac:dyDescent="0.35">
      <c r="B25" s="633"/>
      <c r="C25" s="633"/>
      <c r="D25" s="633"/>
      <c r="E25" s="633"/>
      <c r="F25" s="633"/>
      <c r="G25" s="633"/>
      <c r="H25" s="633"/>
      <c r="I25" s="633"/>
      <c r="J25" s="633"/>
    </row>
    <row r="26" spans="2:21" ht="14.5" x14ac:dyDescent="0.35">
      <c r="B26" s="634" t="s">
        <v>32</v>
      </c>
      <c r="C26" s="633"/>
      <c r="D26" s="633"/>
      <c r="E26" s="633"/>
      <c r="F26" s="633"/>
      <c r="G26" s="633"/>
      <c r="H26" s="633"/>
      <c r="I26" s="633"/>
      <c r="J26" s="633"/>
      <c r="L26" s="770" t="s">
        <v>33</v>
      </c>
      <c r="M26" s="770"/>
      <c r="N26" s="770"/>
      <c r="O26" s="770"/>
      <c r="P26" s="770"/>
      <c r="Q26" s="770"/>
      <c r="R26" s="770"/>
      <c r="S26" s="770"/>
      <c r="T26" s="770"/>
      <c r="U26" s="770"/>
    </row>
    <row r="27" spans="2:21" ht="14.5" customHeight="1" x14ac:dyDescent="0.35">
      <c r="B27" s="633" t="s">
        <v>34</v>
      </c>
      <c r="C27" s="633"/>
      <c r="D27" s="633"/>
      <c r="E27" s="633"/>
      <c r="F27" s="633"/>
      <c r="G27" s="633"/>
      <c r="H27" s="633"/>
      <c r="I27" s="633"/>
      <c r="J27" s="633"/>
      <c r="L27" s="633"/>
      <c r="M27" s="633"/>
      <c r="N27" s="633"/>
      <c r="O27" s="633"/>
      <c r="P27" s="633"/>
      <c r="Q27" s="633"/>
      <c r="R27" s="633"/>
      <c r="S27" s="633"/>
      <c r="T27" s="633"/>
      <c r="U27" s="633"/>
    </row>
    <row r="28" spans="2:21" ht="14.5" customHeight="1" x14ac:dyDescent="0.35">
      <c r="B28" s="633" t="s">
        <v>35</v>
      </c>
      <c r="C28" s="633"/>
      <c r="D28" s="633"/>
      <c r="E28" s="633"/>
      <c r="F28" s="633"/>
      <c r="G28" s="633"/>
      <c r="H28" s="633"/>
      <c r="I28" s="633"/>
      <c r="J28" s="633"/>
      <c r="L28" s="634" t="s">
        <v>36</v>
      </c>
      <c r="M28" s="633"/>
      <c r="N28" s="633"/>
      <c r="O28" s="633"/>
      <c r="P28" s="633"/>
      <c r="Q28" s="633"/>
      <c r="R28" s="633"/>
      <c r="S28" s="633"/>
      <c r="T28" s="633"/>
      <c r="U28" s="633"/>
    </row>
    <row r="29" spans="2:21" ht="14.5" customHeight="1" x14ac:dyDescent="0.35">
      <c r="B29" s="633" t="s">
        <v>37</v>
      </c>
      <c r="C29" s="633"/>
      <c r="D29" s="633"/>
      <c r="E29" s="633"/>
      <c r="F29" s="633"/>
      <c r="G29" s="633"/>
      <c r="H29" s="633"/>
      <c r="I29" s="633"/>
      <c r="J29" s="633"/>
      <c r="L29" s="633" t="s">
        <v>38</v>
      </c>
      <c r="M29" s="633"/>
      <c r="N29" s="633"/>
      <c r="O29" s="633"/>
      <c r="P29" s="633"/>
      <c r="Q29" s="633"/>
      <c r="R29" s="633"/>
      <c r="S29" s="633"/>
      <c r="T29" s="633"/>
      <c r="U29" s="633"/>
    </row>
    <row r="30" spans="2:21" ht="14.5" customHeight="1" x14ac:dyDescent="0.35">
      <c r="B30" s="633" t="s">
        <v>39</v>
      </c>
      <c r="C30" s="633"/>
      <c r="D30" s="633"/>
      <c r="E30" s="633"/>
      <c r="F30" s="633"/>
      <c r="G30" s="633"/>
      <c r="H30" s="633"/>
      <c r="I30" s="633"/>
      <c r="J30" s="633"/>
      <c r="L30" s="633"/>
      <c r="M30" s="633"/>
      <c r="N30" s="633"/>
      <c r="O30" s="633"/>
      <c r="P30" s="633"/>
      <c r="Q30" s="633"/>
      <c r="R30" s="633"/>
      <c r="S30" s="633"/>
      <c r="T30" s="633"/>
      <c r="U30" s="633"/>
    </row>
    <row r="31" spans="2:21" ht="14.5" customHeight="1" x14ac:dyDescent="0.35">
      <c r="B31" s="633" t="s">
        <v>40</v>
      </c>
      <c r="C31" s="633"/>
      <c r="D31" s="633"/>
      <c r="E31" s="633"/>
      <c r="F31" s="633"/>
      <c r="G31" s="633"/>
      <c r="H31" s="633"/>
      <c r="I31" s="633"/>
      <c r="J31" s="633"/>
      <c r="L31" s="634" t="s">
        <v>41</v>
      </c>
      <c r="M31" s="633"/>
      <c r="N31" s="633"/>
      <c r="O31" s="633"/>
      <c r="P31" s="633"/>
      <c r="Q31" s="633"/>
      <c r="R31" s="633"/>
      <c r="S31" s="633"/>
      <c r="T31" s="633"/>
      <c r="U31" s="633"/>
    </row>
    <row r="32" spans="2:21" ht="14.5" customHeight="1" x14ac:dyDescent="0.35">
      <c r="B32" s="634"/>
      <c r="C32" s="633"/>
      <c r="D32" s="633"/>
      <c r="E32" s="633"/>
      <c r="F32" s="633"/>
      <c r="G32" s="633"/>
      <c r="H32" s="633"/>
      <c r="I32" s="633"/>
      <c r="J32" s="633"/>
      <c r="L32" s="633" t="s">
        <v>42</v>
      </c>
      <c r="M32" s="633"/>
      <c r="N32" s="633"/>
      <c r="O32" s="633"/>
      <c r="P32" s="633"/>
      <c r="Q32" s="633"/>
      <c r="R32" s="633"/>
      <c r="S32" s="633"/>
      <c r="T32" s="633"/>
      <c r="U32" s="633"/>
    </row>
    <row r="33" spans="2:21" ht="14.5" customHeight="1" x14ac:dyDescent="0.35">
      <c r="B33" s="634" t="s">
        <v>43</v>
      </c>
      <c r="C33" s="633"/>
      <c r="D33" s="633"/>
      <c r="E33" s="633"/>
      <c r="F33" s="633"/>
      <c r="G33" s="633"/>
      <c r="H33" s="633"/>
      <c r="I33" s="633"/>
      <c r="J33" s="633"/>
      <c r="L33" s="633"/>
      <c r="M33" s="633"/>
      <c r="N33" s="633"/>
      <c r="O33" s="633"/>
      <c r="P33" s="633"/>
      <c r="Q33" s="633"/>
      <c r="R33" s="633"/>
      <c r="S33" s="633"/>
      <c r="T33" s="633"/>
      <c r="U33" s="633"/>
    </row>
    <row r="34" spans="2:21" x14ac:dyDescent="0.35">
      <c r="B34" s="633" t="s">
        <v>44</v>
      </c>
      <c r="C34" s="633"/>
      <c r="D34" s="633"/>
      <c r="E34" s="633"/>
      <c r="F34" s="633"/>
      <c r="G34" s="633"/>
      <c r="H34" s="633"/>
      <c r="I34" s="633"/>
      <c r="J34" s="633"/>
      <c r="L34" s="634" t="s">
        <v>45</v>
      </c>
      <c r="M34" s="633"/>
      <c r="N34" s="633"/>
      <c r="O34" s="633"/>
      <c r="P34" s="633"/>
      <c r="Q34" s="633"/>
      <c r="R34" s="633"/>
      <c r="S34" s="633"/>
      <c r="T34" s="633"/>
      <c r="U34" s="633"/>
    </row>
    <row r="35" spans="2:21" x14ac:dyDescent="0.35">
      <c r="B35" s="633"/>
      <c r="C35" s="633"/>
      <c r="D35" s="633"/>
      <c r="E35" s="633"/>
      <c r="F35" s="633"/>
      <c r="G35" s="633"/>
      <c r="H35" s="633"/>
      <c r="I35" s="633"/>
      <c r="J35" s="633"/>
      <c r="L35" s="633" t="s">
        <v>46</v>
      </c>
      <c r="M35" s="633"/>
      <c r="N35" s="633"/>
      <c r="O35" s="633" t="s">
        <v>47</v>
      </c>
      <c r="P35" s="633"/>
      <c r="Q35" s="633"/>
      <c r="R35" s="633"/>
      <c r="S35" s="633"/>
      <c r="T35" s="633"/>
      <c r="U35" s="633"/>
    </row>
    <row r="36" spans="2:21" x14ac:dyDescent="0.35">
      <c r="B36" s="634" t="s">
        <v>48</v>
      </c>
      <c r="C36" s="633"/>
      <c r="D36" s="633"/>
      <c r="E36" s="633"/>
      <c r="F36" s="633"/>
      <c r="G36" s="633"/>
      <c r="H36" s="633"/>
      <c r="I36" s="633"/>
      <c r="J36" s="633"/>
      <c r="L36" s="633" t="s">
        <v>49</v>
      </c>
      <c r="M36" s="633"/>
      <c r="N36" s="633"/>
      <c r="O36" s="633" t="s">
        <v>50</v>
      </c>
      <c r="P36" s="633"/>
      <c r="Q36" s="633"/>
      <c r="R36" s="633"/>
      <c r="S36" s="633"/>
      <c r="T36" s="633"/>
      <c r="U36" s="633"/>
    </row>
    <row r="37" spans="2:21" x14ac:dyDescent="0.35">
      <c r="B37" s="634" t="s">
        <v>51</v>
      </c>
      <c r="C37" s="633"/>
      <c r="D37" s="633"/>
      <c r="E37" s="633"/>
      <c r="F37" s="633"/>
      <c r="G37" s="633"/>
      <c r="H37" s="633"/>
      <c r="I37" s="633"/>
      <c r="J37" s="633"/>
      <c r="L37" s="633" t="s">
        <v>52</v>
      </c>
      <c r="M37" s="633"/>
      <c r="N37" s="633"/>
      <c r="O37" s="633" t="s">
        <v>53</v>
      </c>
      <c r="P37" s="633"/>
      <c r="Q37" s="633"/>
      <c r="R37" s="633"/>
      <c r="S37" s="633"/>
      <c r="T37" s="633"/>
      <c r="U37" s="633"/>
    </row>
    <row r="38" spans="2:21" x14ac:dyDescent="0.35">
      <c r="B38" s="633" t="s">
        <v>54</v>
      </c>
      <c r="C38" s="633"/>
      <c r="D38" s="633"/>
      <c r="E38" s="633"/>
      <c r="F38" s="633"/>
      <c r="G38" s="633"/>
      <c r="H38" s="633"/>
      <c r="I38" s="633"/>
      <c r="J38" s="633"/>
      <c r="L38" s="633"/>
      <c r="M38" s="633"/>
      <c r="N38" s="633"/>
      <c r="O38" s="633"/>
      <c r="P38" s="633"/>
      <c r="Q38" s="633"/>
      <c r="R38" s="633"/>
      <c r="S38" s="633"/>
      <c r="T38" s="633"/>
      <c r="U38" s="633"/>
    </row>
    <row r="39" spans="2:21" x14ac:dyDescent="0.35">
      <c r="B39" s="633"/>
      <c r="C39" s="633"/>
      <c r="D39" s="633"/>
      <c r="E39" s="633"/>
      <c r="F39" s="633"/>
      <c r="G39" s="633"/>
      <c r="H39" s="633"/>
      <c r="I39" s="633"/>
      <c r="J39" s="633"/>
    </row>
  </sheetData>
  <sheetProtection algorithmName="SHA-512" hashValue="VXi8x7jvaFbDcpy+a6Ko4Zz+Su7Aa3Mr+YEnC3WDm429l+o19DnEpnvnL6SCV0t/rTIsV1bv+Ueu+PMycc8dRg==" saltValue="xjUw4+IKQe+udaArIWIVRQ==" spinCount="100000" sheet="1" objects="1" scenarios="1"/>
  <mergeCells count="3">
    <mergeCell ref="B2:J2"/>
    <mergeCell ref="L4:U4"/>
    <mergeCell ref="L26:U26"/>
  </mergeCell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6" tint="0.39997558519241921"/>
    <pageSetUpPr fitToPage="1"/>
  </sheetPr>
  <dimension ref="A1:P61"/>
  <sheetViews>
    <sheetView showGridLines="0" showZeros="0" topLeftCell="B1" zoomScaleNormal="100" zoomScaleSheetLayoutView="70" workbookViewId="0">
      <pane ySplit="9" topLeftCell="A59" activePane="bottomLeft" state="frozen"/>
      <selection pane="bottomLeft" activeCell="I8" sqref="I8:J8"/>
    </sheetView>
  </sheetViews>
  <sheetFormatPr baseColWidth="10" defaultColWidth="11.453125" defaultRowHeight="12.5" x14ac:dyDescent="0.25"/>
  <cols>
    <col min="1" max="1" width="1.26953125" customWidth="1"/>
    <col min="2" max="2" width="5.7265625" customWidth="1"/>
    <col min="3" max="3" width="15" customWidth="1"/>
    <col min="4" max="4" width="7.7265625" customWidth="1"/>
    <col min="5" max="5" width="15.7265625" customWidth="1"/>
    <col min="6" max="6" width="8" customWidth="1"/>
    <col min="7" max="7" width="14.1796875" customWidth="1"/>
    <col min="8" max="10" width="14.7265625" customWidth="1"/>
    <col min="11" max="11" width="9.7265625" customWidth="1"/>
    <col min="12" max="12" width="28.81640625" bestFit="1" customWidth="1"/>
    <col min="13" max="13" width="17.26953125" customWidth="1"/>
    <col min="14" max="14" width="11.26953125" customWidth="1"/>
    <col min="15" max="15" width="24.453125" bestFit="1" customWidth="1"/>
  </cols>
  <sheetData>
    <row r="1" spans="1:16" ht="7.15" customHeight="1" thickBot="1" x14ac:dyDescent="0.3">
      <c r="A1" s="185"/>
      <c r="B1" s="185"/>
      <c r="C1" s="185"/>
      <c r="D1" s="185"/>
      <c r="E1" s="185"/>
      <c r="F1" s="185"/>
      <c r="G1" s="185"/>
      <c r="H1" s="186"/>
      <c r="I1" s="16"/>
      <c r="J1" s="186"/>
      <c r="K1" s="12"/>
      <c r="L1" s="12"/>
      <c r="M1" s="185"/>
      <c r="N1" s="185"/>
      <c r="O1" s="185"/>
      <c r="P1" s="185"/>
    </row>
    <row r="2" spans="1:16" ht="28.15" customHeight="1" thickBot="1" x14ac:dyDescent="0.3">
      <c r="A2" s="185"/>
      <c r="B2" s="926" t="s">
        <v>862</v>
      </c>
      <c r="C2" s="927"/>
      <c r="D2" s="927"/>
      <c r="E2" s="927"/>
      <c r="F2" s="927"/>
      <c r="G2" s="927"/>
      <c r="H2" s="927"/>
      <c r="I2" s="927"/>
      <c r="J2" s="928"/>
      <c r="K2" s="12"/>
      <c r="L2" s="12"/>
      <c r="M2" s="185"/>
      <c r="N2" s="185"/>
      <c r="O2" s="185"/>
      <c r="P2" s="185"/>
    </row>
    <row r="3" spans="1:16" ht="15" customHeight="1" x14ac:dyDescent="0.25">
      <c r="A3" s="185"/>
      <c r="B3" s="187"/>
      <c r="C3" s="187"/>
      <c r="D3" s="187"/>
      <c r="E3" s="187"/>
      <c r="F3" s="187"/>
      <c r="G3" s="187"/>
      <c r="H3" s="187"/>
      <c r="I3" s="187"/>
      <c r="J3" s="187"/>
      <c r="K3" s="12"/>
      <c r="M3" s="185"/>
      <c r="N3" s="185"/>
      <c r="O3" s="185"/>
      <c r="P3" s="185"/>
    </row>
    <row r="4" spans="1:16" ht="22.15" customHeight="1" x14ac:dyDescent="0.25">
      <c r="A4" s="185"/>
      <c r="B4" s="185"/>
      <c r="C4" s="932" t="s">
        <v>745</v>
      </c>
      <c r="D4" s="876" t="s">
        <v>746</v>
      </c>
      <c r="E4" s="882"/>
      <c r="F4" s="185"/>
      <c r="G4" s="188" t="s">
        <v>77</v>
      </c>
      <c r="H4" s="929" t="str">
        <f>Formulaire!B9</f>
        <v>DU</v>
      </c>
      <c r="I4" s="930"/>
      <c r="J4" s="931" t="str">
        <f>Formulaire!I6</f>
        <v>DONNEES FINANCIERES</v>
      </c>
      <c r="K4" s="12"/>
      <c r="L4" s="185"/>
      <c r="M4" s="185"/>
      <c r="N4" s="185"/>
      <c r="P4" s="185"/>
    </row>
    <row r="5" spans="1:16" ht="22.15" customHeight="1" x14ac:dyDescent="0.25">
      <c r="A5" s="185"/>
      <c r="B5" s="185"/>
      <c r="C5" s="932"/>
      <c r="D5" s="929" t="str">
        <f>Formulaire!B8</f>
        <v>Composante</v>
      </c>
      <c r="E5" s="931"/>
      <c r="F5" s="185"/>
      <c r="G5" s="189" t="s">
        <v>81</v>
      </c>
      <c r="H5" s="929" t="str">
        <f>Formulaire!B10</f>
        <v>non</v>
      </c>
      <c r="I5" s="930"/>
      <c r="J5" s="931">
        <f>Formulaire!I7</f>
        <v>0</v>
      </c>
      <c r="K5" s="12"/>
      <c r="L5" s="12"/>
      <c r="M5" s="185"/>
      <c r="N5" s="185"/>
      <c r="O5" s="185"/>
      <c r="P5" s="185"/>
    </row>
    <row r="6" spans="1:16" ht="30.75" customHeight="1" x14ac:dyDescent="0.25">
      <c r="A6" s="185"/>
      <c r="B6" s="185"/>
      <c r="C6" s="188" t="s">
        <v>747</v>
      </c>
      <c r="D6" s="929" t="str">
        <f>IF(LEFT(Formulaire!$B$8,3)="CFA",'Recettes et simulat prev'!D6,"-")</f>
        <v>-</v>
      </c>
      <c r="E6" s="931"/>
      <c r="F6" s="185"/>
      <c r="G6" s="188" t="s">
        <v>748</v>
      </c>
      <c r="H6" s="929">
        <f>Formulaire!B12</f>
        <v>0</v>
      </c>
      <c r="I6" s="930"/>
      <c r="J6" s="931" t="str">
        <f>Formulaire!I9</f>
        <v>Dotation établissement (FI)</v>
      </c>
      <c r="K6" s="12"/>
      <c r="L6" s="12"/>
      <c r="M6" s="185"/>
      <c r="N6" s="185"/>
      <c r="O6" s="185"/>
      <c r="P6" s="185"/>
    </row>
    <row r="7" spans="1:16" ht="22.15" customHeight="1" thickBot="1" x14ac:dyDescent="0.3">
      <c r="A7" s="185"/>
      <c r="B7" s="185"/>
      <c r="C7" s="190" t="s">
        <v>79</v>
      </c>
      <c r="D7" s="191"/>
      <c r="E7" s="192">
        <f>Formulaire!E9</f>
        <v>20</v>
      </c>
      <c r="F7" s="185"/>
      <c r="G7" s="188" t="s">
        <v>76</v>
      </c>
      <c r="H7" s="929" t="str">
        <f>Formulaire!B11</f>
        <v>IPsyL</v>
      </c>
      <c r="I7" s="930"/>
      <c r="J7" s="931" t="str">
        <f>Formulaire!I11</f>
        <v>Total Recettes (FI+FA+FC)</v>
      </c>
      <c r="K7" s="12"/>
      <c r="L7" s="12"/>
      <c r="M7" s="185"/>
      <c r="N7" s="185"/>
      <c r="O7" s="185"/>
      <c r="P7" s="185"/>
    </row>
    <row r="8" spans="1:16" ht="22.15" customHeight="1" thickBot="1" x14ac:dyDescent="0.3">
      <c r="A8" s="185"/>
      <c r="B8" s="185"/>
      <c r="C8" s="190" t="s">
        <v>83</v>
      </c>
      <c r="D8" s="191"/>
      <c r="E8" s="192">
        <f>Formulaire!E10</f>
        <v>20</v>
      </c>
      <c r="F8" s="185"/>
      <c r="G8" s="193" t="s">
        <v>329</v>
      </c>
      <c r="H8" s="185"/>
      <c r="I8" s="896" t="str">
        <f>Formulaire!B2</f>
        <v>2026-2027</v>
      </c>
      <c r="J8" s="898"/>
      <c r="N8" s="185"/>
      <c r="O8" s="185"/>
      <c r="P8" s="185"/>
    </row>
    <row r="9" spans="1:16" ht="16.149999999999999" customHeight="1" thickBot="1" x14ac:dyDescent="0.3">
      <c r="A9" s="185"/>
      <c r="B9" s="185"/>
      <c r="C9" s="185"/>
      <c r="D9" s="185"/>
      <c r="E9" s="185"/>
      <c r="F9" s="185"/>
      <c r="G9" s="194"/>
      <c r="H9" s="185"/>
      <c r="I9" s="185"/>
      <c r="J9" s="185"/>
      <c r="K9" s="12"/>
      <c r="L9" s="12"/>
      <c r="M9" s="185"/>
      <c r="N9" s="185"/>
      <c r="O9" s="147"/>
      <c r="P9" s="147"/>
    </row>
    <row r="10" spans="1:16" ht="24.4" customHeight="1" thickBot="1" x14ac:dyDescent="0.3">
      <c r="A10" s="185"/>
      <c r="D10" s="879" t="s">
        <v>863</v>
      </c>
      <c r="E10" s="880"/>
      <c r="F10" s="880"/>
      <c r="G10" s="880"/>
      <c r="H10" s="880"/>
      <c r="I10" s="881"/>
      <c r="J10" s="12"/>
      <c r="K10" s="185"/>
      <c r="L10" s="12"/>
    </row>
    <row r="11" spans="1:16" s="12" customFormat="1" ht="12.4" customHeight="1" thickBot="1" x14ac:dyDescent="0.3">
      <c r="D11" s="198"/>
      <c r="E11" s="199"/>
      <c r="F11" s="199"/>
      <c r="G11" s="199"/>
      <c r="H11" s="199"/>
      <c r="I11" s="200"/>
    </row>
    <row r="12" spans="1:16" s="185" customFormat="1" ht="37.15" customHeight="1" thickBot="1" x14ac:dyDescent="0.3">
      <c r="D12" s="201" t="s">
        <v>786</v>
      </c>
      <c r="E12" s="940" t="s">
        <v>787</v>
      </c>
      <c r="F12" s="941"/>
      <c r="G12" s="941"/>
      <c r="H12" s="941"/>
      <c r="I12" s="942"/>
      <c r="J12" s="12"/>
      <c r="K12" s="12"/>
    </row>
    <row r="13" spans="1:16" s="203" customFormat="1" ht="21.4" customHeight="1" thickBot="1" x14ac:dyDescent="0.3">
      <c r="D13" s="204" t="s">
        <v>796</v>
      </c>
      <c r="E13" s="205"/>
      <c r="F13" s="206"/>
      <c r="G13" s="206"/>
      <c r="H13" s="206"/>
      <c r="I13" s="211">
        <f>I19+I31+I26</f>
        <v>18281.612903225807</v>
      </c>
      <c r="J13" s="12"/>
      <c r="K13" s="12"/>
    </row>
    <row r="14" spans="1:16" s="185" customFormat="1" ht="16.899999999999999" customHeight="1" x14ac:dyDescent="0.25">
      <c r="D14" s="23" t="s">
        <v>798</v>
      </c>
      <c r="E14" s="215" t="s">
        <v>799</v>
      </c>
      <c r="F14" s="216"/>
      <c r="G14" s="216"/>
      <c r="H14" s="217"/>
      <c r="I14" s="551"/>
      <c r="J14" s="222"/>
      <c r="K14" s="221"/>
    </row>
    <row r="15" spans="1:16" s="203" customFormat="1" ht="16.899999999999999" customHeight="1" x14ac:dyDescent="0.25">
      <c r="D15" s="27" t="s">
        <v>713</v>
      </c>
      <c r="E15" s="787" t="s">
        <v>714</v>
      </c>
      <c r="F15" s="933"/>
      <c r="G15" s="933"/>
      <c r="H15" s="788"/>
      <c r="I15" s="227">
        <f>'Budget détaillé prev'!I15</f>
        <v>4446</v>
      </c>
      <c r="J15" s="220"/>
      <c r="K15" s="220"/>
    </row>
    <row r="16" spans="1:16" s="203" customFormat="1" ht="16.5" customHeight="1" x14ac:dyDescent="0.25">
      <c r="D16" s="27" t="s">
        <v>715</v>
      </c>
      <c r="E16" s="787" t="s">
        <v>716</v>
      </c>
      <c r="F16" s="933"/>
      <c r="G16" s="933"/>
      <c r="H16" s="788"/>
      <c r="I16" s="227">
        <f>'Budget détaillé prev'!I16</f>
        <v>3380</v>
      </c>
    </row>
    <row r="17" spans="4:12" s="203" customFormat="1" ht="16.899999999999999" customHeight="1" x14ac:dyDescent="0.25">
      <c r="D17" s="27" t="s">
        <v>717</v>
      </c>
      <c r="E17" s="787" t="s">
        <v>718</v>
      </c>
      <c r="F17" s="933"/>
      <c r="G17" s="933"/>
      <c r="H17" s="788"/>
      <c r="I17" s="227">
        <f>'Budget détaillé prev'!I17</f>
        <v>2108</v>
      </c>
      <c r="J17" s="220"/>
    </row>
    <row r="18" spans="4:12" s="203" customFormat="1" ht="18.399999999999999" customHeight="1" x14ac:dyDescent="0.25">
      <c r="D18" s="27" t="s">
        <v>719</v>
      </c>
      <c r="E18" s="787" t="s">
        <v>720</v>
      </c>
      <c r="F18" s="933"/>
      <c r="G18" s="933"/>
      <c r="H18" s="788"/>
      <c r="I18" s="227">
        <f>'Budget détaillé prev'!I18</f>
        <v>2116</v>
      </c>
      <c r="J18" s="220"/>
      <c r="K18" s="220"/>
    </row>
    <row r="19" spans="4:12" s="203" customFormat="1" ht="22.15" customHeight="1" thickBot="1" x14ac:dyDescent="0.3">
      <c r="D19" s="937" t="s">
        <v>721</v>
      </c>
      <c r="E19" s="938"/>
      <c r="F19" s="938"/>
      <c r="G19" s="938"/>
      <c r="H19" s="939"/>
      <c r="I19" s="239">
        <f>SUM(I15:I18)</f>
        <v>12050</v>
      </c>
      <c r="J19" s="12"/>
      <c r="K19" s="12"/>
    </row>
    <row r="20" spans="4:12" s="185" customFormat="1" ht="16.899999999999999" customHeight="1" x14ac:dyDescent="0.25">
      <c r="D20" s="23" t="s">
        <v>722</v>
      </c>
      <c r="E20" s="215" t="s">
        <v>723</v>
      </c>
      <c r="F20" s="216"/>
      <c r="G20" s="216"/>
      <c r="H20" s="217"/>
      <c r="I20" s="551"/>
      <c r="J20" s="12"/>
      <c r="K20" s="203"/>
    </row>
    <row r="21" spans="4:12" s="203" customFormat="1" ht="16.899999999999999" customHeight="1" x14ac:dyDescent="0.25">
      <c r="D21" s="27" t="s">
        <v>724</v>
      </c>
      <c r="E21" s="242" t="s">
        <v>801</v>
      </c>
      <c r="F21" s="405"/>
      <c r="G21" s="405"/>
      <c r="H21" s="406"/>
      <c r="I21" s="227">
        <f>'Budget détaillé prev'!I21</f>
        <v>0</v>
      </c>
      <c r="J21" s="234"/>
      <c r="L21" s="221"/>
    </row>
    <row r="22" spans="4:12" s="203" customFormat="1" ht="16.899999999999999" customHeight="1" x14ac:dyDescent="0.25">
      <c r="D22" s="27" t="s">
        <v>726</v>
      </c>
      <c r="E22" s="787" t="s">
        <v>802</v>
      </c>
      <c r="F22" s="933"/>
      <c r="G22" s="933"/>
      <c r="H22" s="788"/>
      <c r="I22" s="227">
        <f>'Budget détaillé prev'!I22</f>
        <v>0</v>
      </c>
      <c r="J22" s="220"/>
      <c r="L22" s="221"/>
    </row>
    <row r="23" spans="4:12" s="203" customFormat="1" ht="16.899999999999999" customHeight="1" x14ac:dyDescent="0.25">
      <c r="D23" s="27" t="s">
        <v>728</v>
      </c>
      <c r="E23" s="787" t="s">
        <v>729</v>
      </c>
      <c r="F23" s="933"/>
      <c r="G23" s="933"/>
      <c r="H23" s="788"/>
      <c r="I23" s="227">
        <f>'Budget détaillé prev'!I23</f>
        <v>0</v>
      </c>
      <c r="J23" s="220"/>
      <c r="L23" s="221"/>
    </row>
    <row r="24" spans="4:12" s="203" customFormat="1" ht="16.899999999999999" customHeight="1" x14ac:dyDescent="0.25">
      <c r="D24" s="27" t="s">
        <v>730</v>
      </c>
      <c r="E24" s="787" t="s">
        <v>731</v>
      </c>
      <c r="F24" s="933"/>
      <c r="G24" s="933"/>
      <c r="H24" s="788"/>
      <c r="I24" s="227">
        <f>'Budget détaillé prev'!I24</f>
        <v>0</v>
      </c>
      <c r="J24" s="220"/>
      <c r="L24" s="221"/>
    </row>
    <row r="25" spans="4:12" s="203" customFormat="1" ht="16.899999999999999" customHeight="1" x14ac:dyDescent="0.25">
      <c r="D25" s="27" t="s">
        <v>732</v>
      </c>
      <c r="E25" s="787" t="s">
        <v>803</v>
      </c>
      <c r="F25" s="933"/>
      <c r="G25" s="933"/>
      <c r="H25" s="788"/>
      <c r="I25" s="227">
        <f>'Budget détaillé prev'!I25</f>
        <v>0</v>
      </c>
      <c r="J25" s="220"/>
      <c r="L25" s="221"/>
    </row>
    <row r="26" spans="4:12" s="203" customFormat="1" ht="21.4" customHeight="1" thickBot="1" x14ac:dyDescent="0.3">
      <c r="D26" s="937" t="s">
        <v>734</v>
      </c>
      <c r="E26" s="938"/>
      <c r="F26" s="938"/>
      <c r="G26" s="938"/>
      <c r="H26" s="939"/>
      <c r="I26" s="256">
        <f>SUM(I21:I25)</f>
        <v>0</v>
      </c>
      <c r="J26" s="147"/>
    </row>
    <row r="27" spans="4:12" s="203" customFormat="1" ht="16.899999999999999" customHeight="1" x14ac:dyDescent="0.25">
      <c r="D27" s="23" t="s">
        <v>735</v>
      </c>
      <c r="E27" s="215" t="s">
        <v>736</v>
      </c>
      <c r="F27" s="216"/>
      <c r="G27" s="216"/>
      <c r="H27" s="217"/>
      <c r="I27" s="551"/>
      <c r="J27" s="234"/>
      <c r="K27" s="248">
        <f>IF($I27=0,0,IF(#REF!=0,0,#REF!*#REF!/$I27*#REF!/#REF!))</f>
        <v>0</v>
      </c>
    </row>
    <row r="28" spans="4:12" s="203" customFormat="1" ht="16.899999999999999" customHeight="1" x14ac:dyDescent="0.25">
      <c r="D28" s="27" t="s">
        <v>737</v>
      </c>
      <c r="E28" s="787" t="s">
        <v>122</v>
      </c>
      <c r="F28" s="933"/>
      <c r="G28" s="933"/>
      <c r="H28" s="788"/>
      <c r="I28" s="227">
        <f>'Budget détaillé prev'!I28</f>
        <v>3705</v>
      </c>
      <c r="J28" s="220"/>
      <c r="K28" s="220"/>
      <c r="L28" s="253"/>
    </row>
    <row r="29" spans="4:12" s="203" customFormat="1" ht="16.899999999999999" customHeight="1" x14ac:dyDescent="0.25">
      <c r="D29" s="27" t="s">
        <v>738</v>
      </c>
      <c r="E29" s="787" t="s">
        <v>739</v>
      </c>
      <c r="F29" s="933"/>
      <c r="G29" s="933"/>
      <c r="H29" s="788"/>
      <c r="I29" s="227">
        <f>'Budget détaillé prev'!I29</f>
        <v>2526.6129032258063</v>
      </c>
      <c r="J29" s="220"/>
      <c r="K29" s="220"/>
      <c r="L29" s="253"/>
    </row>
    <row r="30" spans="4:12" s="203" customFormat="1" ht="16.899999999999999" hidden="1" customHeight="1" x14ac:dyDescent="0.25">
      <c r="D30" s="27" t="s">
        <v>740</v>
      </c>
      <c r="E30" s="404" t="s">
        <v>124</v>
      </c>
      <c r="F30" s="405"/>
      <c r="G30" s="405"/>
      <c r="H30" s="406"/>
      <c r="I30" s="227">
        <f>'Budget détaillé prev'!I30</f>
        <v>0</v>
      </c>
      <c r="J30" s="220"/>
      <c r="K30" s="220"/>
      <c r="L30" s="253"/>
    </row>
    <row r="31" spans="4:12" s="203" customFormat="1" ht="21" customHeight="1" thickBot="1" x14ac:dyDescent="0.3">
      <c r="D31" s="937" t="s">
        <v>741</v>
      </c>
      <c r="E31" s="938"/>
      <c r="F31" s="938"/>
      <c r="G31" s="938"/>
      <c r="H31" s="939"/>
      <c r="I31" s="256">
        <f>SUM(I28:I30)</f>
        <v>6231.6129032258068</v>
      </c>
      <c r="J31" s="147"/>
      <c r="K31" s="257"/>
    </row>
    <row r="32" spans="4:12" s="203" customFormat="1" ht="21" customHeight="1" thickBot="1" x14ac:dyDescent="0.3">
      <c r="D32" s="204" t="s">
        <v>126</v>
      </c>
      <c r="E32" s="205"/>
      <c r="F32" s="206"/>
      <c r="G32" s="206"/>
      <c r="H32" s="206"/>
      <c r="I32" s="211">
        <f>SUM(I33:I37)</f>
        <v>4421</v>
      </c>
      <c r="J32" s="269"/>
      <c r="K32" s="147"/>
    </row>
    <row r="33" spans="4:12" s="203" customFormat="1" ht="17.149999999999999" customHeight="1" x14ac:dyDescent="0.25">
      <c r="D33" s="27" t="s">
        <v>808</v>
      </c>
      <c r="E33" s="787" t="str">
        <f>'Budget détaillé prev'!C35</f>
        <v>BIATSS catégorie A</v>
      </c>
      <c r="F33" s="933">
        <f>'Budget détaillé prev'!F35</f>
        <v>0</v>
      </c>
      <c r="G33" s="933">
        <f>'Budget détaillé prev'!G35</f>
        <v>0.01</v>
      </c>
      <c r="H33" s="788">
        <f>'Budget détaillé prev'!H35</f>
        <v>68000</v>
      </c>
      <c r="I33" s="227">
        <f>'Budget détaillé prev'!I35</f>
        <v>680</v>
      </c>
      <c r="J33" s="269"/>
      <c r="K33" s="147"/>
    </row>
    <row r="34" spans="4:12" s="203" customFormat="1" ht="17.149999999999999" customHeight="1" x14ac:dyDescent="0.25">
      <c r="D34" s="27" t="s">
        <v>809</v>
      </c>
      <c r="E34" s="787" t="str">
        <f>'Budget détaillé prev'!C36</f>
        <v>BIATSS catégorie C</v>
      </c>
      <c r="F34" s="933">
        <f>'Budget détaillé prev'!F36</f>
        <v>0</v>
      </c>
      <c r="G34" s="933">
        <f>'Budget détaillé prev'!G36</f>
        <v>8.5999999999999993E-2</v>
      </c>
      <c r="H34" s="788">
        <f>'Budget détaillé prev'!H36</f>
        <v>43500</v>
      </c>
      <c r="I34" s="227">
        <f>'Budget détaillé prev'!I36</f>
        <v>3740.9999999999995</v>
      </c>
      <c r="J34" s="147"/>
      <c r="K34" s="12"/>
    </row>
    <row r="35" spans="4:12" s="12" customFormat="1" ht="17.149999999999999" customHeight="1" x14ac:dyDescent="0.25">
      <c r="D35" s="27" t="s">
        <v>810</v>
      </c>
      <c r="E35" s="787">
        <f>'Budget détaillé prev'!C37</f>
        <v>0</v>
      </c>
      <c r="F35" s="933">
        <f>'Budget détaillé prev'!F37</f>
        <v>0</v>
      </c>
      <c r="G35" s="933" t="str">
        <f>'Budget détaillé prev'!G37</f>
        <v/>
      </c>
      <c r="H35" s="788">
        <f>'Budget détaillé prev'!H37</f>
        <v>0</v>
      </c>
      <c r="I35" s="227" t="str">
        <f>'Budget détaillé prev'!I37</f>
        <v/>
      </c>
      <c r="K35" s="185"/>
    </row>
    <row r="36" spans="4:12" s="12" customFormat="1" ht="17.149999999999999" customHeight="1" x14ac:dyDescent="0.25">
      <c r="D36" s="27" t="s">
        <v>811</v>
      </c>
      <c r="E36" s="787">
        <f>'Budget détaillé prev'!C38</f>
        <v>0</v>
      </c>
      <c r="F36" s="933">
        <f>'Budget détaillé prev'!F38</f>
        <v>0</v>
      </c>
      <c r="G36" s="933" t="str">
        <f>'Budget détaillé prev'!G38</f>
        <v/>
      </c>
      <c r="H36" s="788">
        <f>'Budget détaillé prev'!H38</f>
        <v>0</v>
      </c>
      <c r="I36" s="227" t="str">
        <f>'Budget détaillé prev'!I38</f>
        <v/>
      </c>
      <c r="K36" s="185"/>
    </row>
    <row r="37" spans="4:12" s="12" customFormat="1" ht="17.149999999999999" customHeight="1" thickBot="1" x14ac:dyDescent="0.3">
      <c r="D37" s="27" t="s">
        <v>812</v>
      </c>
      <c r="E37" s="787">
        <f>'Budget détaillé prev'!C39</f>
        <v>0</v>
      </c>
      <c r="F37" s="933">
        <f>'Budget détaillé prev'!F39</f>
        <v>0</v>
      </c>
      <c r="G37" s="933" t="str">
        <f>'Budget détaillé prev'!G39</f>
        <v/>
      </c>
      <c r="H37" s="788">
        <f>'Budget détaillé prev'!H39</f>
        <v>0</v>
      </c>
      <c r="I37" s="227" t="str">
        <f>'Budget détaillé prev'!I39</f>
        <v/>
      </c>
      <c r="K37" s="185"/>
    </row>
    <row r="38" spans="4:12" s="12" customFormat="1" ht="22" customHeight="1" thickBot="1" x14ac:dyDescent="0.3">
      <c r="D38" s="204" t="s">
        <v>864</v>
      </c>
      <c r="E38" s="205"/>
      <c r="F38" s="206"/>
      <c r="G38" s="206"/>
      <c r="H38" s="206"/>
      <c r="I38" s="552">
        <f>I13+I32</f>
        <v>22702.612903225807</v>
      </c>
      <c r="K38" s="185"/>
    </row>
    <row r="39" spans="4:12" s="12" customFormat="1" ht="16.899999999999999" customHeight="1" thickBot="1" x14ac:dyDescent="0.3">
      <c r="D39" s="323" t="s">
        <v>828</v>
      </c>
      <c r="E39" s="324" t="s">
        <v>865</v>
      </c>
      <c r="F39" s="325"/>
      <c r="G39" s="325"/>
      <c r="H39" s="325"/>
      <c r="I39" s="20"/>
      <c r="K39" s="185"/>
    </row>
    <row r="40" spans="4:12" s="185" customFormat="1" ht="17.149999999999999" customHeight="1" x14ac:dyDescent="0.25">
      <c r="D40" s="296" t="s">
        <v>866</v>
      </c>
      <c r="E40" s="297" t="s">
        <v>867</v>
      </c>
      <c r="F40" s="298"/>
      <c r="G40" s="298"/>
      <c r="H40" s="553"/>
      <c r="I40" s="32">
        <f>IF(AND(H5="oui",D5="CFA Lyon 2")=TRUE,$I$53*Paramétrage!P5/2,$I$53*Paramétrage!P5)</f>
        <v>6004.8</v>
      </c>
    </row>
    <row r="41" spans="4:12" s="185" customFormat="1" ht="17.149999999999999" customHeight="1" x14ac:dyDescent="0.25">
      <c r="D41" s="296" t="s">
        <v>868</v>
      </c>
      <c r="E41" s="297" t="s">
        <v>745</v>
      </c>
      <c r="F41" s="298"/>
      <c r="G41" s="298"/>
      <c r="H41" s="554"/>
      <c r="I41" s="32">
        <f>IF(AND(H5="oui",D5="CFA Lyon 2")=TRUE,$I$53*Paramétrage!P6/2,$I$53*Paramétrage!P6)</f>
        <v>2001.6000000000001</v>
      </c>
    </row>
    <row r="42" spans="4:12" s="185" customFormat="1" ht="17.149999999999999" customHeight="1" thickBot="1" x14ac:dyDescent="0.3">
      <c r="D42" s="296" t="s">
        <v>869</v>
      </c>
      <c r="E42" s="297" t="s">
        <v>423</v>
      </c>
      <c r="F42" s="298"/>
      <c r="G42" s="298"/>
      <c r="H42" s="555"/>
      <c r="I42" s="32">
        <f>IF(D5="CFA Lyon 2",$I$53*Paramétrage!P7,0)</f>
        <v>0</v>
      </c>
      <c r="K42" s="203"/>
    </row>
    <row r="43" spans="4:12" ht="22" customHeight="1" thickBot="1" x14ac:dyDescent="0.3">
      <c r="D43" s="204" t="s">
        <v>870</v>
      </c>
      <c r="E43" s="205"/>
      <c r="F43" s="206"/>
      <c r="G43" s="206"/>
      <c r="H43" s="206"/>
      <c r="I43" s="210">
        <f>SUM(I40:I42)</f>
        <v>8006.4000000000005</v>
      </c>
      <c r="J43" s="578">
        <f>IF(I53=0,0,I43/I53)</f>
        <v>0.16</v>
      </c>
      <c r="K43" s="577" t="s">
        <v>847</v>
      </c>
      <c r="L43" s="185"/>
    </row>
    <row r="44" spans="4:12" ht="24.4" customHeight="1" thickBot="1" x14ac:dyDescent="0.3">
      <c r="D44" s="342"/>
      <c r="E44" s="343"/>
      <c r="F44" s="343"/>
      <c r="G44" s="343"/>
      <c r="H44" s="343"/>
      <c r="I44" s="345"/>
      <c r="J44" s="12"/>
      <c r="K44" s="185"/>
      <c r="L44" s="185"/>
    </row>
    <row r="45" spans="4:12" ht="27.75" customHeight="1" thickBot="1" x14ac:dyDescent="0.3">
      <c r="D45" s="348" t="s">
        <v>871</v>
      </c>
      <c r="E45" s="348"/>
      <c r="F45" s="349"/>
      <c r="G45" s="350"/>
      <c r="H45" s="349"/>
      <c r="I45" s="556">
        <f>I43+I38</f>
        <v>30709.012903225808</v>
      </c>
      <c r="J45" s="368"/>
      <c r="K45" s="12"/>
      <c r="L45" s="185"/>
    </row>
    <row r="46" spans="4:12" s="12" customFormat="1" ht="27.75" customHeight="1" thickBot="1" x14ac:dyDescent="0.3">
      <c r="D46" s="366"/>
      <c r="E46" s="366"/>
      <c r="F46" s="366"/>
      <c r="G46" s="366"/>
      <c r="H46" s="185"/>
      <c r="I46" s="185"/>
      <c r="K46" s="185"/>
    </row>
    <row r="47" spans="4:12" ht="27.75" customHeight="1" thickBot="1" x14ac:dyDescent="0.3">
      <c r="D47" s="879" t="s">
        <v>847</v>
      </c>
      <c r="E47" s="880"/>
      <c r="F47" s="880"/>
      <c r="G47" s="880"/>
      <c r="H47" s="880"/>
      <c r="I47" s="881"/>
      <c r="J47" s="185"/>
      <c r="K47" s="316"/>
      <c r="L47" s="185"/>
    </row>
    <row r="48" spans="4:12" ht="24" customHeight="1" thickBot="1" x14ac:dyDescent="0.3">
      <c r="D48" s="368"/>
      <c r="E48" s="185"/>
      <c r="F48" s="185"/>
      <c r="G48" s="185"/>
      <c r="H48" s="185"/>
      <c r="I48" s="40"/>
      <c r="J48" s="185"/>
      <c r="K48" s="316"/>
      <c r="L48" s="185"/>
    </row>
    <row r="49" spans="3:12" ht="13.5" thickBot="1" x14ac:dyDescent="0.3">
      <c r="D49" s="323" t="s">
        <v>848</v>
      </c>
      <c r="E49" s="324" t="s">
        <v>847</v>
      </c>
      <c r="F49" s="325"/>
      <c r="G49" s="325"/>
      <c r="H49" s="325"/>
      <c r="I49" s="20"/>
      <c r="J49" s="368"/>
      <c r="K49" s="185"/>
      <c r="L49" s="185"/>
    </row>
    <row r="50" spans="3:12" s="185" customFormat="1" ht="24" customHeight="1" x14ac:dyDescent="0.25">
      <c r="D50" s="285" t="s">
        <v>852</v>
      </c>
      <c r="E50" s="329" t="s">
        <v>872</v>
      </c>
      <c r="F50" s="369"/>
      <c r="G50" s="369"/>
      <c r="H50" s="370"/>
      <c r="I50" s="227">
        <f>'Budget détaillé prev'!K76</f>
        <v>50040</v>
      </c>
      <c r="J50" s="368"/>
      <c r="K50" s="203"/>
    </row>
    <row r="51" spans="3:12" s="185" customFormat="1" ht="24" customHeight="1" x14ac:dyDescent="0.25">
      <c r="D51" s="328" t="s">
        <v>854</v>
      </c>
      <c r="E51" s="335" t="s">
        <v>873</v>
      </c>
      <c r="F51" s="557"/>
      <c r="G51" s="557"/>
      <c r="H51" s="557"/>
      <c r="I51" s="227">
        <f>'Budget détaillé prev'!K77</f>
        <v>0</v>
      </c>
      <c r="K51" s="203"/>
    </row>
    <row r="52" spans="3:12" ht="27.75" customHeight="1" thickBot="1" x14ac:dyDescent="0.3">
      <c r="C52" s="558"/>
      <c r="D52" s="380"/>
      <c r="E52" s="381"/>
      <c r="F52" s="382"/>
      <c r="G52" s="381"/>
      <c r="H52" s="382"/>
      <c r="I52" s="648"/>
      <c r="J52" s="185"/>
      <c r="K52" s="203"/>
      <c r="L52" s="185"/>
    </row>
    <row r="53" spans="3:12" s="185" customFormat="1" ht="27.75" customHeight="1" thickBot="1" x14ac:dyDescent="0.3">
      <c r="D53" s="348" t="s">
        <v>874</v>
      </c>
      <c r="E53" s="348"/>
      <c r="F53" s="349"/>
      <c r="G53" s="350"/>
      <c r="H53" s="349"/>
      <c r="I53" s="556">
        <f>I51+I50</f>
        <v>50040</v>
      </c>
    </row>
    <row r="54" spans="3:12" s="185" customFormat="1" ht="24.4" customHeight="1" thickBot="1" x14ac:dyDescent="0.3">
      <c r="K54" s="203"/>
    </row>
    <row r="55" spans="3:12" s="12" customFormat="1" ht="24.75" customHeight="1" thickBot="1" x14ac:dyDescent="0.3">
      <c r="D55" s="559" t="s">
        <v>875</v>
      </c>
      <c r="E55" s="560" t="s">
        <v>859</v>
      </c>
      <c r="F55" s="561"/>
      <c r="G55" s="561"/>
      <c r="H55" s="562"/>
      <c r="I55" s="563">
        <f>K55*Paramétrage!S31</f>
        <v>0</v>
      </c>
      <c r="J55" s="191" t="s">
        <v>876</v>
      </c>
      <c r="K55" s="747">
        <f>Formulaire!E17</f>
        <v>0</v>
      </c>
    </row>
    <row r="56" spans="3:12" ht="24" customHeight="1" thickBot="1" x14ac:dyDescent="0.3">
      <c r="D56" s="185"/>
      <c r="E56" s="366"/>
      <c r="F56" s="366"/>
      <c r="G56" s="366"/>
      <c r="H56" s="366"/>
      <c r="I56" s="391"/>
      <c r="J56" s="185"/>
      <c r="K56" s="185"/>
      <c r="L56" s="185"/>
    </row>
    <row r="57" spans="3:12" s="12" customFormat="1" ht="23.25" customHeight="1" thickBot="1" x14ac:dyDescent="0.3">
      <c r="D57" s="348" t="s">
        <v>877</v>
      </c>
      <c r="E57" s="348"/>
      <c r="F57" s="349"/>
      <c r="G57" s="350"/>
      <c r="H57" s="349"/>
      <c r="I57" s="556">
        <f>I53+I55-I45</f>
        <v>19330.987096774192</v>
      </c>
      <c r="K57" s="270"/>
    </row>
    <row r="58" spans="3:12" ht="24" customHeight="1" thickBot="1" x14ac:dyDescent="0.3">
      <c r="D58" s="564"/>
      <c r="E58" s="564"/>
      <c r="F58" s="564"/>
      <c r="G58" s="565"/>
      <c r="H58" s="564"/>
      <c r="I58" s="566"/>
    </row>
    <row r="59" spans="3:12" ht="28.5" customHeight="1" thickBot="1" x14ac:dyDescent="0.3">
      <c r="D59" s="285" t="s">
        <v>878</v>
      </c>
      <c r="E59" s="329"/>
      <c r="F59" s="369"/>
      <c r="G59" s="369"/>
      <c r="H59" s="369"/>
      <c r="I59" s="227">
        <f>'Budget détaillé prev'!I42</f>
        <v>250</v>
      </c>
    </row>
    <row r="60" spans="3:12" ht="13.5" thickBot="1" x14ac:dyDescent="0.3">
      <c r="D60" s="564"/>
      <c r="E60" s="564"/>
      <c r="F60" s="564"/>
      <c r="G60" s="565"/>
      <c r="H60" s="564"/>
      <c r="I60" s="566"/>
    </row>
    <row r="61" spans="3:12" ht="27" customHeight="1" thickBot="1" x14ac:dyDescent="0.3">
      <c r="D61" s="348" t="s">
        <v>879</v>
      </c>
      <c r="E61" s="349"/>
      <c r="F61" s="349"/>
      <c r="G61" s="350"/>
      <c r="H61" s="349"/>
      <c r="I61" s="556">
        <f>+I57-I59</f>
        <v>19080.987096774192</v>
      </c>
    </row>
  </sheetData>
  <sheetProtection algorithmName="SHA-512" hashValue="+oxbm2RFliDLtAL3SQQ7Xsq4AM/0ld+PifD/yi8ZafKHsVj5iImbP3jf3r6lddA4sa5vrFCZu5e0swM8Qr21iQ==" saltValue="4eU1wYzyDTYOuPyP/IMXBw==" spinCount="100000" sheet="1" objects="1" scenarios="1"/>
  <mergeCells count="31">
    <mergeCell ref="E25:H25"/>
    <mergeCell ref="D19:H19"/>
    <mergeCell ref="E22:H22"/>
    <mergeCell ref="E23:H23"/>
    <mergeCell ref="E24:H24"/>
    <mergeCell ref="D47:I47"/>
    <mergeCell ref="D26:H26"/>
    <mergeCell ref="E28:H28"/>
    <mergeCell ref="E29:H29"/>
    <mergeCell ref="D31:H31"/>
    <mergeCell ref="E33:H33"/>
    <mergeCell ref="E34:H34"/>
    <mergeCell ref="E35:H35"/>
    <mergeCell ref="E37:H37"/>
    <mergeCell ref="E36:H36"/>
    <mergeCell ref="H7:J7"/>
    <mergeCell ref="E15:H15"/>
    <mergeCell ref="E16:H16"/>
    <mergeCell ref="E17:H17"/>
    <mergeCell ref="E18:H18"/>
    <mergeCell ref="E12:I12"/>
    <mergeCell ref="I8:J8"/>
    <mergeCell ref="D10:I10"/>
    <mergeCell ref="B2:J2"/>
    <mergeCell ref="D4:E4"/>
    <mergeCell ref="H4:J4"/>
    <mergeCell ref="D6:E6"/>
    <mergeCell ref="H6:J6"/>
    <mergeCell ref="H5:J5"/>
    <mergeCell ref="D5:E5"/>
    <mergeCell ref="C4:C5"/>
  </mergeCells>
  <phoneticPr fontId="50" type="noConversion"/>
  <printOptions horizontalCentered="1" verticalCentered="1"/>
  <pageMargins left="0.25" right="0.25" top="0.75" bottom="0.75" header="0.3" footer="0.3"/>
  <pageSetup paperSize="8" scale="67"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48E378-261D-42A3-9F64-BBF1F7D05F7F}">
  <sheetPr>
    <tabColor theme="6" tint="0.39997558519241921"/>
    <pageSetUpPr fitToPage="1"/>
  </sheetPr>
  <dimension ref="A1:P61"/>
  <sheetViews>
    <sheetView showGridLines="0" showZeros="0" zoomScaleNormal="100" zoomScaleSheetLayoutView="70" workbookViewId="0">
      <pane ySplit="9" topLeftCell="A34" activePane="bottomLeft" state="frozen"/>
      <selection pane="bottomLeft" activeCell="I8" sqref="I8:J8"/>
    </sheetView>
  </sheetViews>
  <sheetFormatPr baseColWidth="10" defaultColWidth="11.453125" defaultRowHeight="12.5" x14ac:dyDescent="0.25"/>
  <cols>
    <col min="1" max="1" width="1.26953125" customWidth="1"/>
    <col min="2" max="2" width="5.7265625" customWidth="1"/>
    <col min="3" max="3" width="15" customWidth="1"/>
    <col min="4" max="4" width="7.7265625" customWidth="1"/>
    <col min="5" max="5" width="15.7265625" customWidth="1"/>
    <col min="6" max="6" width="8" customWidth="1"/>
    <col min="7" max="7" width="14.1796875" customWidth="1"/>
    <col min="8" max="10" width="14.7265625" customWidth="1"/>
    <col min="11" max="11" width="9.7265625" customWidth="1"/>
    <col min="12" max="12" width="28.81640625" bestFit="1" customWidth="1"/>
    <col min="13" max="13" width="17.26953125" customWidth="1"/>
    <col min="14" max="14" width="11.26953125" customWidth="1"/>
    <col min="15" max="15" width="24.453125" bestFit="1" customWidth="1"/>
  </cols>
  <sheetData>
    <row r="1" spans="1:16" ht="7.15" customHeight="1" thickBot="1" x14ac:dyDescent="0.3">
      <c r="A1" s="185"/>
      <c r="B1" s="185"/>
      <c r="C1" s="185"/>
      <c r="D1" s="185"/>
      <c r="E1" s="185"/>
      <c r="F1" s="185"/>
      <c r="G1" s="185"/>
      <c r="H1" s="186"/>
      <c r="I1" s="16"/>
      <c r="J1" s="186"/>
      <c r="K1" s="12"/>
      <c r="L1" s="12"/>
      <c r="M1" s="185"/>
      <c r="N1" s="185"/>
      <c r="O1" s="185"/>
      <c r="P1" s="185"/>
    </row>
    <row r="2" spans="1:16" ht="28.15" customHeight="1" thickBot="1" x14ac:dyDescent="0.3">
      <c r="A2" s="185"/>
      <c r="B2" s="926" t="s">
        <v>880</v>
      </c>
      <c r="C2" s="927"/>
      <c r="D2" s="927"/>
      <c r="E2" s="927"/>
      <c r="F2" s="927"/>
      <c r="G2" s="927"/>
      <c r="H2" s="927"/>
      <c r="I2" s="927"/>
      <c r="J2" s="928"/>
      <c r="K2" s="12"/>
      <c r="L2" s="12"/>
      <c r="M2" s="185"/>
      <c r="N2" s="185"/>
      <c r="O2" s="185"/>
      <c r="P2" s="185"/>
    </row>
    <row r="3" spans="1:16" ht="15" customHeight="1" x14ac:dyDescent="0.25">
      <c r="A3" s="185"/>
      <c r="B3" s="187"/>
      <c r="C3" s="187"/>
      <c r="D3" s="187"/>
      <c r="E3" s="187"/>
      <c r="F3" s="187"/>
      <c r="G3" s="187"/>
      <c r="H3" s="187"/>
      <c r="I3" s="187"/>
      <c r="J3" s="187"/>
      <c r="K3" s="12"/>
      <c r="M3" s="185"/>
      <c r="N3" s="185"/>
      <c r="O3" s="185"/>
      <c r="P3" s="185"/>
    </row>
    <row r="4" spans="1:16" ht="22.15" customHeight="1" x14ac:dyDescent="0.25">
      <c r="A4" s="185"/>
      <c r="B4" s="185"/>
      <c r="C4" s="932" t="s">
        <v>745</v>
      </c>
      <c r="D4" s="876" t="s">
        <v>746</v>
      </c>
      <c r="E4" s="882"/>
      <c r="F4" s="185"/>
      <c r="G4" s="188" t="s">
        <v>77</v>
      </c>
      <c r="H4" s="886" t="str">
        <f>Formulaire!B9</f>
        <v>DU</v>
      </c>
      <c r="I4" s="930"/>
      <c r="J4" s="931"/>
      <c r="K4" s="12"/>
      <c r="L4" s="185"/>
      <c r="M4" s="185"/>
      <c r="N4" s="185"/>
      <c r="P4" s="185"/>
    </row>
    <row r="5" spans="1:16" ht="22.15" customHeight="1" x14ac:dyDescent="0.25">
      <c r="A5" s="185"/>
      <c r="B5" s="185"/>
      <c r="C5" s="932"/>
      <c r="D5" s="886" t="str">
        <f>Formulaire!B8</f>
        <v>Composante</v>
      </c>
      <c r="E5" s="931"/>
      <c r="F5" s="185"/>
      <c r="G5" s="189" t="s">
        <v>81</v>
      </c>
      <c r="H5" s="886" t="str">
        <f>Formulaire!B10</f>
        <v>non</v>
      </c>
      <c r="I5" s="930"/>
      <c r="J5" s="931"/>
      <c r="K5" s="12"/>
      <c r="L5" s="12"/>
      <c r="M5" s="185"/>
      <c r="N5" s="185"/>
      <c r="O5" s="185"/>
      <c r="P5" s="185"/>
    </row>
    <row r="6" spans="1:16" ht="30.75" customHeight="1" x14ac:dyDescent="0.25">
      <c r="A6" s="185"/>
      <c r="B6" s="185"/>
      <c r="C6" s="188" t="s">
        <v>747</v>
      </c>
      <c r="D6" s="929" t="str">
        <f>IF(LEFT(Formulaire!$B$8,3)="CFA",'Recettes et simulat réel'!D6,"-")</f>
        <v>-</v>
      </c>
      <c r="E6" s="931"/>
      <c r="F6" s="185"/>
      <c r="G6" s="188" t="s">
        <v>748</v>
      </c>
      <c r="H6" s="886">
        <f>Formulaire!B12</f>
        <v>0</v>
      </c>
      <c r="I6" s="930"/>
      <c r="J6" s="931"/>
      <c r="K6" s="12"/>
      <c r="L6" s="12"/>
      <c r="M6" s="185"/>
      <c r="N6" s="185"/>
      <c r="O6" s="185"/>
      <c r="P6" s="185"/>
    </row>
    <row r="7" spans="1:16" ht="22.15" customHeight="1" thickBot="1" x14ac:dyDescent="0.3">
      <c r="A7" s="185"/>
      <c r="B7" s="185"/>
      <c r="C7" s="190" t="s">
        <v>79</v>
      </c>
      <c r="D7" s="191"/>
      <c r="E7" s="192">
        <f>Formulaire!F9</f>
        <v>0</v>
      </c>
      <c r="F7" s="185"/>
      <c r="G7" s="188" t="s">
        <v>76</v>
      </c>
      <c r="H7" s="886" t="str">
        <f>Formulaire!B11</f>
        <v>IPsyL</v>
      </c>
      <c r="I7" s="930"/>
      <c r="J7" s="931"/>
      <c r="K7" s="12"/>
      <c r="L7" s="12"/>
      <c r="M7" s="185"/>
      <c r="N7" s="185"/>
      <c r="O7" s="185"/>
      <c r="P7" s="185"/>
    </row>
    <row r="8" spans="1:16" ht="22.15" customHeight="1" thickBot="1" x14ac:dyDescent="0.3">
      <c r="A8" s="185"/>
      <c r="B8" s="185"/>
      <c r="C8" s="190" t="s">
        <v>83</v>
      </c>
      <c r="D8" s="191"/>
      <c r="E8" s="192">
        <f>Formulaire!F10</f>
        <v>0</v>
      </c>
      <c r="F8" s="185"/>
      <c r="G8" s="193" t="s">
        <v>329</v>
      </c>
      <c r="H8" s="185"/>
      <c r="I8" s="896" t="str">
        <f>Formulaire!B2</f>
        <v>2026-2027</v>
      </c>
      <c r="J8" s="898"/>
      <c r="N8" s="185"/>
      <c r="O8" s="185"/>
      <c r="P8" s="185"/>
    </row>
    <row r="9" spans="1:16" ht="16.149999999999999" customHeight="1" thickBot="1" x14ac:dyDescent="0.3">
      <c r="A9" s="185"/>
      <c r="B9" s="185"/>
      <c r="C9" s="185"/>
      <c r="D9" s="185"/>
      <c r="E9" s="185"/>
      <c r="F9" s="185"/>
      <c r="G9" s="194"/>
      <c r="H9" s="185"/>
      <c r="I9" s="185"/>
      <c r="J9" s="185"/>
      <c r="K9" s="12"/>
      <c r="L9" s="12"/>
      <c r="M9" s="185"/>
      <c r="N9" s="185"/>
      <c r="O9" s="147"/>
      <c r="P9" s="147"/>
    </row>
    <row r="10" spans="1:16" ht="24.4" customHeight="1" thickBot="1" x14ac:dyDescent="0.3">
      <c r="A10" s="185"/>
      <c r="D10" s="879" t="s">
        <v>863</v>
      </c>
      <c r="E10" s="880"/>
      <c r="F10" s="880"/>
      <c r="G10" s="880"/>
      <c r="H10" s="880"/>
      <c r="I10" s="881"/>
      <c r="J10" s="12"/>
      <c r="K10" s="185"/>
      <c r="L10" s="12"/>
    </row>
    <row r="11" spans="1:16" s="12" customFormat="1" ht="12.4" customHeight="1" thickBot="1" x14ac:dyDescent="0.3">
      <c r="D11" s="198"/>
      <c r="E11" s="199"/>
      <c r="F11" s="199"/>
      <c r="G11" s="199"/>
      <c r="H11" s="199"/>
      <c r="I11" s="200"/>
    </row>
    <row r="12" spans="1:16" s="185" customFormat="1" ht="37.15" customHeight="1" thickBot="1" x14ac:dyDescent="0.3">
      <c r="D12" s="201" t="s">
        <v>786</v>
      </c>
      <c r="E12" s="940" t="s">
        <v>787</v>
      </c>
      <c r="F12" s="941"/>
      <c r="G12" s="941"/>
      <c r="H12" s="941"/>
      <c r="I12" s="942"/>
      <c r="J12" s="12"/>
      <c r="K12" s="12"/>
    </row>
    <row r="13" spans="1:16" s="203" customFormat="1" ht="21.4" customHeight="1" thickBot="1" x14ac:dyDescent="0.3">
      <c r="D13" s="204" t="s">
        <v>796</v>
      </c>
      <c r="E13" s="205"/>
      <c r="F13" s="206"/>
      <c r="G13" s="206"/>
      <c r="H13" s="206"/>
      <c r="I13" s="211">
        <f>I19+I31+I26</f>
        <v>0</v>
      </c>
      <c r="J13" s="12"/>
      <c r="K13" s="12"/>
    </row>
    <row r="14" spans="1:16" s="185" customFormat="1" ht="16.899999999999999" customHeight="1" x14ac:dyDescent="0.25">
      <c r="D14" s="23" t="s">
        <v>798</v>
      </c>
      <c r="E14" s="215" t="s">
        <v>799</v>
      </c>
      <c r="F14" s="216"/>
      <c r="G14" s="216"/>
      <c r="H14" s="217"/>
      <c r="I14" s="551"/>
      <c r="J14" s="222"/>
      <c r="K14" s="221"/>
    </row>
    <row r="15" spans="1:16" s="203" customFormat="1" ht="16.899999999999999" customHeight="1" x14ac:dyDescent="0.25">
      <c r="D15" s="27" t="s">
        <v>713</v>
      </c>
      <c r="E15" s="787" t="s">
        <v>714</v>
      </c>
      <c r="F15" s="933"/>
      <c r="G15" s="933"/>
      <c r="H15" s="788"/>
      <c r="I15" s="227">
        <f>'Budget détaillé réel'!I15</f>
        <v>0</v>
      </c>
      <c r="J15" s="220"/>
      <c r="K15" s="220"/>
    </row>
    <row r="16" spans="1:16" s="203" customFormat="1" ht="16.899999999999999" customHeight="1" x14ac:dyDescent="0.25">
      <c r="D16" s="27" t="s">
        <v>715</v>
      </c>
      <c r="E16" s="787" t="s">
        <v>716</v>
      </c>
      <c r="F16" s="933"/>
      <c r="G16" s="933"/>
      <c r="H16" s="788"/>
      <c r="I16" s="227">
        <f>'Budget détaillé réel'!I16</f>
        <v>0</v>
      </c>
    </row>
    <row r="17" spans="4:12" s="203" customFormat="1" ht="16.899999999999999" customHeight="1" x14ac:dyDescent="0.25">
      <c r="D17" s="27" t="s">
        <v>717</v>
      </c>
      <c r="E17" s="787" t="s">
        <v>718</v>
      </c>
      <c r="F17" s="933"/>
      <c r="G17" s="933"/>
      <c r="H17" s="788"/>
      <c r="I17" s="227">
        <f>'Budget détaillé réel'!I17</f>
        <v>0</v>
      </c>
      <c r="J17" s="220"/>
    </row>
    <row r="18" spans="4:12" s="203" customFormat="1" ht="18.399999999999999" customHeight="1" x14ac:dyDescent="0.25">
      <c r="D18" s="27" t="s">
        <v>719</v>
      </c>
      <c r="E18" s="787" t="s">
        <v>720</v>
      </c>
      <c r="F18" s="933"/>
      <c r="G18" s="933"/>
      <c r="H18" s="788"/>
      <c r="I18" s="227">
        <f>'Budget détaillé réel'!I18</f>
        <v>0</v>
      </c>
      <c r="J18" s="220"/>
      <c r="K18" s="220"/>
    </row>
    <row r="19" spans="4:12" s="203" customFormat="1" ht="22.15" customHeight="1" thickBot="1" x14ac:dyDescent="0.3">
      <c r="D19" s="937" t="s">
        <v>721</v>
      </c>
      <c r="E19" s="938"/>
      <c r="F19" s="938"/>
      <c r="G19" s="938"/>
      <c r="H19" s="939"/>
      <c r="I19" s="239">
        <f>SUM(I15:I18)</f>
        <v>0</v>
      </c>
      <c r="J19" s="12"/>
      <c r="K19" s="12"/>
    </row>
    <row r="20" spans="4:12" s="185" customFormat="1" ht="16.899999999999999" customHeight="1" x14ac:dyDescent="0.25">
      <c r="D20" s="23" t="s">
        <v>722</v>
      </c>
      <c r="E20" s="215" t="s">
        <v>723</v>
      </c>
      <c r="F20" s="216"/>
      <c r="G20" s="216"/>
      <c r="H20" s="217"/>
      <c r="I20" s="551"/>
      <c r="J20" s="12"/>
      <c r="K20" s="203"/>
    </row>
    <row r="21" spans="4:12" s="203" customFormat="1" ht="16.899999999999999" customHeight="1" x14ac:dyDescent="0.25">
      <c r="D21" s="27" t="s">
        <v>724</v>
      </c>
      <c r="E21" s="242" t="s">
        <v>801</v>
      </c>
      <c r="F21" s="405"/>
      <c r="G21" s="405"/>
      <c r="H21" s="406"/>
      <c r="I21" s="227">
        <f>'Budget détaillé réel'!I21</f>
        <v>0</v>
      </c>
      <c r="J21" s="234"/>
      <c r="L21" s="221"/>
    </row>
    <row r="22" spans="4:12" s="203" customFormat="1" ht="16.899999999999999" customHeight="1" x14ac:dyDescent="0.25">
      <c r="D22" s="27" t="s">
        <v>726</v>
      </c>
      <c r="E22" s="787" t="s">
        <v>802</v>
      </c>
      <c r="F22" s="933"/>
      <c r="G22" s="933"/>
      <c r="H22" s="788"/>
      <c r="I22" s="227">
        <f>'Budget détaillé réel'!I22</f>
        <v>0</v>
      </c>
      <c r="J22" s="220"/>
      <c r="L22" s="221"/>
    </row>
    <row r="23" spans="4:12" s="203" customFormat="1" ht="16.899999999999999" customHeight="1" x14ac:dyDescent="0.25">
      <c r="D23" s="27" t="s">
        <v>728</v>
      </c>
      <c r="E23" s="787" t="s">
        <v>729</v>
      </c>
      <c r="F23" s="933"/>
      <c r="G23" s="933"/>
      <c r="H23" s="788"/>
      <c r="I23" s="227">
        <f>'Budget détaillé réel'!I23</f>
        <v>0</v>
      </c>
      <c r="J23" s="220"/>
      <c r="L23" s="221"/>
    </row>
    <row r="24" spans="4:12" s="203" customFormat="1" ht="16.899999999999999" customHeight="1" x14ac:dyDescent="0.25">
      <c r="D24" s="27" t="s">
        <v>730</v>
      </c>
      <c r="E24" s="787" t="s">
        <v>731</v>
      </c>
      <c r="F24" s="933"/>
      <c r="G24" s="933"/>
      <c r="H24" s="788"/>
      <c r="I24" s="227">
        <f>'Budget détaillé réel'!I24</f>
        <v>0</v>
      </c>
      <c r="J24" s="220"/>
      <c r="L24" s="221"/>
    </row>
    <row r="25" spans="4:12" s="203" customFormat="1" ht="16.899999999999999" customHeight="1" x14ac:dyDescent="0.25">
      <c r="D25" s="27" t="s">
        <v>732</v>
      </c>
      <c r="E25" s="787" t="s">
        <v>803</v>
      </c>
      <c r="F25" s="933"/>
      <c r="G25" s="933"/>
      <c r="H25" s="788"/>
      <c r="I25" s="227">
        <f>'Budget détaillé réel'!I25</f>
        <v>0</v>
      </c>
      <c r="J25" s="220"/>
      <c r="L25" s="221"/>
    </row>
    <row r="26" spans="4:12" s="203" customFormat="1" ht="21.4" customHeight="1" thickBot="1" x14ac:dyDescent="0.3">
      <c r="D26" s="937" t="s">
        <v>734</v>
      </c>
      <c r="E26" s="938"/>
      <c r="F26" s="938"/>
      <c r="G26" s="938"/>
      <c r="H26" s="939"/>
      <c r="I26" s="256">
        <f>SUM(I21:I25)</f>
        <v>0</v>
      </c>
      <c r="J26" s="147"/>
    </row>
    <row r="27" spans="4:12" s="203" customFormat="1" ht="16.899999999999999" customHeight="1" x14ac:dyDescent="0.25">
      <c r="D27" s="23" t="s">
        <v>735</v>
      </c>
      <c r="E27" s="215" t="s">
        <v>736</v>
      </c>
      <c r="F27" s="216"/>
      <c r="G27" s="216"/>
      <c r="H27" s="217"/>
      <c r="I27" s="551"/>
      <c r="J27" s="234"/>
      <c r="K27" s="248">
        <f>IF($I27=0,0,IF(#REF!=0,0,#REF!*#REF!/$I27*#REF!/#REF!))</f>
        <v>0</v>
      </c>
    </row>
    <row r="28" spans="4:12" s="203" customFormat="1" ht="16.899999999999999" customHeight="1" x14ac:dyDescent="0.25">
      <c r="D28" s="27" t="s">
        <v>737</v>
      </c>
      <c r="E28" s="787" t="s">
        <v>122</v>
      </c>
      <c r="F28" s="933"/>
      <c r="G28" s="933"/>
      <c r="H28" s="788"/>
      <c r="I28" s="227">
        <f>'Budget détaillé réel'!I28</f>
        <v>0</v>
      </c>
      <c r="J28" s="220"/>
      <c r="K28" s="220"/>
      <c r="L28" s="253"/>
    </row>
    <row r="29" spans="4:12" s="203" customFormat="1" ht="16.899999999999999" customHeight="1" x14ac:dyDescent="0.25">
      <c r="D29" s="27" t="s">
        <v>738</v>
      </c>
      <c r="E29" s="787" t="s">
        <v>739</v>
      </c>
      <c r="F29" s="933"/>
      <c r="G29" s="933"/>
      <c r="H29" s="788"/>
      <c r="I29" s="227">
        <f>'Budget détaillé réel'!I29</f>
        <v>0</v>
      </c>
      <c r="J29" s="220"/>
      <c r="K29" s="220"/>
      <c r="L29" s="253"/>
    </row>
    <row r="30" spans="4:12" s="203" customFormat="1" ht="16.899999999999999" hidden="1" customHeight="1" x14ac:dyDescent="0.25">
      <c r="D30" s="27" t="s">
        <v>740</v>
      </c>
      <c r="E30" s="404" t="s">
        <v>124</v>
      </c>
      <c r="F30" s="405"/>
      <c r="G30" s="405"/>
      <c r="H30" s="406"/>
      <c r="I30" s="227">
        <f>'Budget détaillé réel'!I30</f>
        <v>0</v>
      </c>
      <c r="J30" s="220"/>
      <c r="K30" s="220"/>
      <c r="L30" s="253"/>
    </row>
    <row r="31" spans="4:12" s="203" customFormat="1" ht="21" customHeight="1" thickBot="1" x14ac:dyDescent="0.3">
      <c r="D31" s="937" t="s">
        <v>741</v>
      </c>
      <c r="E31" s="938"/>
      <c r="F31" s="938"/>
      <c r="G31" s="938"/>
      <c r="H31" s="939"/>
      <c r="I31" s="256">
        <f>SUM(I28:I30)</f>
        <v>0</v>
      </c>
      <c r="J31" s="147"/>
      <c r="K31" s="257"/>
    </row>
    <row r="32" spans="4:12" s="203" customFormat="1" ht="21" customHeight="1" thickBot="1" x14ac:dyDescent="0.3">
      <c r="D32" s="204" t="s">
        <v>126</v>
      </c>
      <c r="E32" s="205"/>
      <c r="F32" s="206"/>
      <c r="G32" s="206"/>
      <c r="H32" s="206"/>
      <c r="I32" s="211">
        <f>SUM(I33:I37)</f>
        <v>0</v>
      </c>
      <c r="J32" s="269"/>
      <c r="K32" s="147"/>
    </row>
    <row r="33" spans="4:12" s="203" customFormat="1" ht="17.149999999999999" customHeight="1" x14ac:dyDescent="0.25">
      <c r="D33" s="27" t="s">
        <v>808</v>
      </c>
      <c r="E33" s="787" t="str">
        <f>'Budget détaillé réel'!C35</f>
        <v>BIATSS catégorie A</v>
      </c>
      <c r="F33" s="933">
        <f>'Budget détaillé prev'!F35</f>
        <v>0</v>
      </c>
      <c r="G33" s="933">
        <f>'Budget détaillé prev'!G35</f>
        <v>0.01</v>
      </c>
      <c r="H33" s="788">
        <f>'Budget détaillé prev'!H35</f>
        <v>68000</v>
      </c>
      <c r="I33" s="227" t="str">
        <f>'Budget détaillé réel'!I35</f>
        <v/>
      </c>
      <c r="J33" s="269"/>
      <c r="K33" s="147"/>
    </row>
    <row r="34" spans="4:12" s="203" customFormat="1" ht="17.149999999999999" customHeight="1" x14ac:dyDescent="0.25">
      <c r="D34" s="27" t="s">
        <v>809</v>
      </c>
      <c r="E34" s="787" t="str">
        <f>'Budget détaillé réel'!C36</f>
        <v>BIATSS catégorie C</v>
      </c>
      <c r="F34" s="933">
        <f>'Budget détaillé prev'!F36</f>
        <v>0</v>
      </c>
      <c r="G34" s="933">
        <f>'Budget détaillé prev'!G36</f>
        <v>8.5999999999999993E-2</v>
      </c>
      <c r="H34" s="788">
        <f>'Budget détaillé prev'!H36</f>
        <v>43500</v>
      </c>
      <c r="I34" s="227" t="str">
        <f>'Budget détaillé réel'!I36</f>
        <v/>
      </c>
      <c r="J34" s="269"/>
      <c r="K34" s="147"/>
    </row>
    <row r="35" spans="4:12" s="12" customFormat="1" ht="17.149999999999999" customHeight="1" x14ac:dyDescent="0.25">
      <c r="D35" s="27" t="s">
        <v>810</v>
      </c>
      <c r="E35" s="787">
        <f>'Budget détaillé réel'!C37</f>
        <v>0</v>
      </c>
      <c r="F35" s="933">
        <f>'Budget détaillé prev'!F37</f>
        <v>0</v>
      </c>
      <c r="G35" s="933" t="str">
        <f>'Budget détaillé prev'!G37</f>
        <v/>
      </c>
      <c r="H35" s="788">
        <f>'Budget détaillé prev'!H37</f>
        <v>0</v>
      </c>
      <c r="I35" s="227" t="str">
        <f>'Budget détaillé réel'!I37</f>
        <v/>
      </c>
      <c r="J35" s="269"/>
      <c r="K35" s="147"/>
    </row>
    <row r="36" spans="4:12" s="12" customFormat="1" ht="17.149999999999999" customHeight="1" x14ac:dyDescent="0.25">
      <c r="D36" s="27" t="s">
        <v>811</v>
      </c>
      <c r="E36" s="787">
        <f>'Budget détaillé réel'!C38</f>
        <v>0</v>
      </c>
      <c r="F36" s="933">
        <f>'Budget détaillé prev'!F38</f>
        <v>0</v>
      </c>
      <c r="G36" s="933" t="str">
        <f>'Budget détaillé prev'!G38</f>
        <v/>
      </c>
      <c r="H36" s="788">
        <f>'Budget détaillé prev'!H38</f>
        <v>0</v>
      </c>
      <c r="I36" s="227" t="str">
        <f>'Budget détaillé réel'!I38</f>
        <v/>
      </c>
      <c r="J36" s="269"/>
      <c r="K36" s="147"/>
    </row>
    <row r="37" spans="4:12" s="12" customFormat="1" ht="17.149999999999999" customHeight="1" thickBot="1" x14ac:dyDescent="0.3">
      <c r="D37" s="27" t="s">
        <v>812</v>
      </c>
      <c r="E37" s="787">
        <f>'Budget détaillé réel'!C39</f>
        <v>0</v>
      </c>
      <c r="F37" s="933">
        <f>'Budget détaillé prev'!F39</f>
        <v>0</v>
      </c>
      <c r="G37" s="933" t="str">
        <f>'Budget détaillé prev'!G39</f>
        <v/>
      </c>
      <c r="H37" s="788">
        <f>'Budget détaillé prev'!H39</f>
        <v>0</v>
      </c>
      <c r="I37" s="227" t="str">
        <f>'Budget détaillé réel'!I39</f>
        <v/>
      </c>
      <c r="J37" s="269"/>
      <c r="K37" s="147"/>
    </row>
    <row r="38" spans="4:12" s="12" customFormat="1" ht="22" customHeight="1" thickBot="1" x14ac:dyDescent="0.3">
      <c r="D38" s="204" t="s">
        <v>864</v>
      </c>
      <c r="E38" s="205"/>
      <c r="F38" s="206"/>
      <c r="G38" s="206"/>
      <c r="H38" s="206"/>
      <c r="I38" s="552">
        <f>I13+I32</f>
        <v>0</v>
      </c>
      <c r="J38" s="147"/>
    </row>
    <row r="39" spans="4:12" s="12" customFormat="1" ht="16.899999999999999" customHeight="1" thickBot="1" x14ac:dyDescent="0.3">
      <c r="D39" s="323" t="s">
        <v>828</v>
      </c>
      <c r="E39" s="324" t="s">
        <v>865</v>
      </c>
      <c r="F39" s="325"/>
      <c r="G39" s="325"/>
      <c r="H39" s="325"/>
      <c r="I39" s="20"/>
      <c r="K39" s="185"/>
    </row>
    <row r="40" spans="4:12" s="185" customFormat="1" ht="17.149999999999999" customHeight="1" x14ac:dyDescent="0.25">
      <c r="D40" s="296" t="s">
        <v>866</v>
      </c>
      <c r="E40" s="297" t="s">
        <v>867</v>
      </c>
      <c r="F40" s="298"/>
      <c r="G40" s="298"/>
      <c r="H40" s="553"/>
      <c r="I40" s="32">
        <f>IF(AND(H5="oui",D5="CFA Lyon 2")=TRUE,$I$53*Paramétrage!P5/2,$I$53*Paramétrage!P5)</f>
        <v>0</v>
      </c>
      <c r="J40" s="12"/>
    </row>
    <row r="41" spans="4:12" s="185" customFormat="1" ht="17.149999999999999" customHeight="1" x14ac:dyDescent="0.25">
      <c r="D41" s="296" t="s">
        <v>868</v>
      </c>
      <c r="E41" s="297" t="s">
        <v>745</v>
      </c>
      <c r="F41" s="298"/>
      <c r="G41" s="298"/>
      <c r="H41" s="554"/>
      <c r="I41" s="32">
        <f>IF(AND(H5="oui",D5="CFA Lyon 2")=TRUE,$I$53*Paramétrage!P6/2,$I$53*Paramétrage!P6)</f>
        <v>0</v>
      </c>
      <c r="J41" s="12"/>
    </row>
    <row r="42" spans="4:12" s="185" customFormat="1" ht="17.149999999999999" customHeight="1" thickBot="1" x14ac:dyDescent="0.3">
      <c r="D42" s="296" t="s">
        <v>869</v>
      </c>
      <c r="E42" s="297" t="s">
        <v>423</v>
      </c>
      <c r="F42" s="298"/>
      <c r="G42" s="298"/>
      <c r="H42" s="555"/>
      <c r="I42" s="32">
        <f>IF(D5="CFA Lyon 2",$I$53*Paramétrage!P7,0)</f>
        <v>0</v>
      </c>
      <c r="J42" s="12"/>
    </row>
    <row r="43" spans="4:12" ht="22" customHeight="1" thickBot="1" x14ac:dyDescent="0.3">
      <c r="D43" s="204" t="s">
        <v>870</v>
      </c>
      <c r="E43" s="205"/>
      <c r="F43" s="206"/>
      <c r="G43" s="206"/>
      <c r="H43" s="206"/>
      <c r="I43" s="211">
        <f>SUM(I40:I42)</f>
        <v>0</v>
      </c>
      <c r="J43" s="578">
        <f>IF(I53=0,0,I43/I53)</f>
        <v>0</v>
      </c>
      <c r="K43" s="577" t="s">
        <v>847</v>
      </c>
      <c r="L43" s="185"/>
    </row>
    <row r="44" spans="4:12" ht="24.4" customHeight="1" thickBot="1" x14ac:dyDescent="0.3">
      <c r="D44" s="342"/>
      <c r="E44" s="343"/>
      <c r="F44" s="343"/>
      <c r="G44" s="343"/>
      <c r="H44" s="343"/>
      <c r="I44" s="345"/>
      <c r="J44" s="185"/>
      <c r="K44" s="185"/>
      <c r="L44" s="185"/>
    </row>
    <row r="45" spans="4:12" ht="27.75" customHeight="1" thickBot="1" x14ac:dyDescent="0.3">
      <c r="D45" s="348" t="s">
        <v>871</v>
      </c>
      <c r="E45" s="348"/>
      <c r="F45" s="349"/>
      <c r="G45" s="350"/>
      <c r="H45" s="349"/>
      <c r="I45" s="556">
        <f>I43+I38</f>
        <v>0</v>
      </c>
      <c r="J45" s="185"/>
      <c r="K45" s="203"/>
      <c r="L45" s="185"/>
    </row>
    <row r="46" spans="4:12" s="12" customFormat="1" ht="27.75" customHeight="1" thickBot="1" x14ac:dyDescent="0.3">
      <c r="D46" s="366"/>
      <c r="E46" s="366"/>
      <c r="F46" s="366"/>
      <c r="G46" s="366"/>
      <c r="H46" s="185"/>
      <c r="I46" s="185"/>
      <c r="J46" s="185"/>
    </row>
    <row r="47" spans="4:12" ht="27.75" customHeight="1" thickBot="1" x14ac:dyDescent="0.3">
      <c r="D47" s="879" t="s">
        <v>847</v>
      </c>
      <c r="E47" s="880"/>
      <c r="F47" s="880"/>
      <c r="G47" s="880"/>
      <c r="H47" s="880"/>
      <c r="I47" s="881"/>
      <c r="J47" s="12"/>
      <c r="K47" s="185"/>
      <c r="L47" s="185"/>
    </row>
    <row r="48" spans="4:12" ht="24" customHeight="1" thickBot="1" x14ac:dyDescent="0.3">
      <c r="D48" s="368"/>
      <c r="E48" s="185"/>
      <c r="F48" s="185"/>
      <c r="G48" s="185"/>
      <c r="H48" s="185"/>
      <c r="I48" s="39"/>
      <c r="J48" s="368"/>
      <c r="K48" s="12"/>
      <c r="L48" s="185"/>
    </row>
    <row r="49" spans="3:12" ht="13.5" thickBot="1" x14ac:dyDescent="0.3">
      <c r="D49" s="323" t="s">
        <v>848</v>
      </c>
      <c r="E49" s="324" t="s">
        <v>847</v>
      </c>
      <c r="F49" s="325"/>
      <c r="G49" s="325"/>
      <c r="H49" s="325"/>
      <c r="I49" s="20"/>
      <c r="J49" s="12"/>
      <c r="K49" s="185"/>
      <c r="L49" s="185"/>
    </row>
    <row r="50" spans="3:12" s="185" customFormat="1" ht="24" customHeight="1" x14ac:dyDescent="0.25">
      <c r="D50" s="285" t="s">
        <v>852</v>
      </c>
      <c r="E50" s="329" t="s">
        <v>872</v>
      </c>
      <c r="F50" s="369"/>
      <c r="G50" s="369"/>
      <c r="H50" s="369"/>
      <c r="I50" s="227">
        <f>'Budget détaillé réel'!K76</f>
        <v>0</v>
      </c>
    </row>
    <row r="51" spans="3:12" s="185" customFormat="1" ht="24" customHeight="1" x14ac:dyDescent="0.25">
      <c r="D51" s="328" t="s">
        <v>854</v>
      </c>
      <c r="E51" s="335" t="s">
        <v>873</v>
      </c>
      <c r="F51" s="557"/>
      <c r="G51" s="557"/>
      <c r="H51" s="557"/>
      <c r="I51" s="227">
        <f>'Budget détaillé réel'!K77</f>
        <v>0</v>
      </c>
    </row>
    <row r="52" spans="3:12" ht="27.75" customHeight="1" thickBot="1" x14ac:dyDescent="0.3">
      <c r="C52" s="558"/>
      <c r="D52" s="380"/>
      <c r="E52" s="381"/>
      <c r="F52" s="382"/>
      <c r="G52" s="381"/>
      <c r="H52" s="382"/>
      <c r="I52" s="383"/>
      <c r="J52" s="368"/>
      <c r="K52" s="185"/>
      <c r="L52" s="185"/>
    </row>
    <row r="53" spans="3:12" s="185" customFormat="1" ht="27.75" customHeight="1" thickBot="1" x14ac:dyDescent="0.3">
      <c r="D53" s="348" t="s">
        <v>874</v>
      </c>
      <c r="E53" s="348"/>
      <c r="F53" s="349"/>
      <c r="G53" s="350"/>
      <c r="H53" s="349"/>
      <c r="I53" s="556">
        <f>I50+I51</f>
        <v>0</v>
      </c>
      <c r="J53" s="368"/>
      <c r="K53" s="203"/>
    </row>
    <row r="54" spans="3:12" s="185" customFormat="1" ht="24.4" customHeight="1" thickBot="1" x14ac:dyDescent="0.3">
      <c r="K54" s="203"/>
    </row>
    <row r="55" spans="3:12" s="12" customFormat="1" ht="27.75" customHeight="1" thickBot="1" x14ac:dyDescent="0.3">
      <c r="D55" s="559" t="s">
        <v>875</v>
      </c>
      <c r="E55" s="560" t="s">
        <v>859</v>
      </c>
      <c r="F55" s="561"/>
      <c r="G55" s="561"/>
      <c r="H55" s="562"/>
      <c r="I55" s="563">
        <f>K55*Paramétrage!S31</f>
        <v>0</v>
      </c>
      <c r="J55" s="191" t="s">
        <v>876</v>
      </c>
      <c r="K55" s="747">
        <f>Formulaire!F17</f>
        <v>0</v>
      </c>
    </row>
    <row r="56" spans="3:12" ht="24" customHeight="1" thickBot="1" x14ac:dyDescent="0.3">
      <c r="D56" s="185"/>
      <c r="E56" s="366"/>
      <c r="F56" s="366"/>
      <c r="G56" s="366"/>
      <c r="H56" s="366"/>
      <c r="I56" s="391"/>
      <c r="J56" s="185"/>
      <c r="K56" s="185"/>
      <c r="L56" s="185"/>
    </row>
    <row r="57" spans="3:12" s="12" customFormat="1" ht="23.25" customHeight="1" thickBot="1" x14ac:dyDescent="0.3">
      <c r="D57" s="348" t="s">
        <v>877</v>
      </c>
      <c r="E57" s="348"/>
      <c r="F57" s="349"/>
      <c r="G57" s="350"/>
      <c r="H57" s="349"/>
      <c r="I57" s="556">
        <f>I53+I55-I45</f>
        <v>0</v>
      </c>
      <c r="J57" s="185"/>
      <c r="K57" s="203"/>
    </row>
    <row r="58" spans="3:12" ht="24" customHeight="1" thickBot="1" x14ac:dyDescent="0.3">
      <c r="D58" s="564"/>
      <c r="E58" s="564"/>
      <c r="F58" s="564"/>
      <c r="G58" s="565"/>
      <c r="H58" s="564"/>
      <c r="I58" s="566"/>
      <c r="J58" s="12"/>
      <c r="K58" s="270"/>
    </row>
    <row r="59" spans="3:12" ht="29.25" customHeight="1" thickBot="1" x14ac:dyDescent="0.3">
      <c r="D59" s="285" t="s">
        <v>881</v>
      </c>
      <c r="E59" s="329"/>
      <c r="F59" s="369"/>
      <c r="G59" s="369"/>
      <c r="H59" s="369"/>
      <c r="I59" s="227">
        <f>'Budget détaillé réel'!I42</f>
        <v>0</v>
      </c>
      <c r="J59" s="185"/>
      <c r="K59" s="185"/>
    </row>
    <row r="60" spans="3:12" ht="13.5" thickBot="1" x14ac:dyDescent="0.3">
      <c r="D60" s="564"/>
      <c r="E60" s="564"/>
      <c r="F60" s="564"/>
      <c r="G60" s="565"/>
      <c r="H60" s="564"/>
      <c r="I60" s="566"/>
      <c r="J60" s="12"/>
      <c r="K60" s="270"/>
    </row>
    <row r="61" spans="3:12" ht="31.5" customHeight="1" thickBot="1" x14ac:dyDescent="0.3">
      <c r="D61" s="348" t="s">
        <v>879</v>
      </c>
      <c r="E61" s="349"/>
      <c r="F61" s="349"/>
      <c r="G61" s="350"/>
      <c r="H61" s="349"/>
      <c r="I61" s="556">
        <f>+I57-I59</f>
        <v>0</v>
      </c>
    </row>
  </sheetData>
  <sheetProtection algorithmName="SHA-512" hashValue="NJgRjXnMbXAkM5f2SzyudYha1FHR1JsNZHfS9PwyUnM8CjTYR1m+rNKQT1g18VTPU42SrIummXRSm1Edq5V9+A==" saltValue="c2sLYtR5qhsty/3UIQzzTg==" spinCount="100000" sheet="1" objects="1" scenarios="1"/>
  <mergeCells count="31">
    <mergeCell ref="E34:H34"/>
    <mergeCell ref="E35:H35"/>
    <mergeCell ref="D31:H31"/>
    <mergeCell ref="E33:H33"/>
    <mergeCell ref="E18:H18"/>
    <mergeCell ref="D19:H19"/>
    <mergeCell ref="E22:H22"/>
    <mergeCell ref="E23:H23"/>
    <mergeCell ref="E24:H24"/>
    <mergeCell ref="B2:J2"/>
    <mergeCell ref="D4:E4"/>
    <mergeCell ref="H4:J4"/>
    <mergeCell ref="D5:E5"/>
    <mergeCell ref="H5:J5"/>
    <mergeCell ref="C4:C5"/>
    <mergeCell ref="E37:H37"/>
    <mergeCell ref="D47:I47"/>
    <mergeCell ref="D6:E6"/>
    <mergeCell ref="H6:J6"/>
    <mergeCell ref="E25:H25"/>
    <mergeCell ref="H7:J7"/>
    <mergeCell ref="D10:I10"/>
    <mergeCell ref="E12:I12"/>
    <mergeCell ref="E15:H15"/>
    <mergeCell ref="E16:H16"/>
    <mergeCell ref="E17:H17"/>
    <mergeCell ref="I8:J8"/>
    <mergeCell ref="D26:H26"/>
    <mergeCell ref="E28:H28"/>
    <mergeCell ref="E36:H36"/>
    <mergeCell ref="E29:H29"/>
  </mergeCells>
  <phoneticPr fontId="50" type="noConversion"/>
  <printOptions horizontalCentered="1" verticalCentered="1"/>
  <pageMargins left="0.25" right="0.25" top="0.75" bottom="0.75" header="0.3" footer="0.3"/>
  <pageSetup paperSize="8" scale="67" orientation="portrait" r:id="rId1"/>
  <headerFooter alignWithMargins="0"/>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7030A0"/>
  </sheetPr>
  <dimension ref="B1:I29"/>
  <sheetViews>
    <sheetView workbookViewId="0">
      <selection activeCell="I28" sqref="I28"/>
    </sheetView>
  </sheetViews>
  <sheetFormatPr baseColWidth="10" defaultColWidth="11.54296875" defaultRowHeight="12.5" x14ac:dyDescent="0.25"/>
  <cols>
    <col min="1" max="1" width="11.54296875" style="1"/>
    <col min="2" max="2" width="43.26953125" style="1" bestFit="1" customWidth="1"/>
    <col min="3" max="4" width="11.54296875" style="1"/>
    <col min="5" max="5" width="12.1796875" style="1" customWidth="1"/>
    <col min="6" max="6" width="11.54296875" style="1"/>
    <col min="7" max="7" width="18.81640625" style="1" customWidth="1"/>
    <col min="8" max="16384" width="11.54296875" style="1"/>
  </cols>
  <sheetData>
    <row r="1" spans="2:9" x14ac:dyDescent="0.25">
      <c r="B1" s="943" t="s">
        <v>882</v>
      </c>
      <c r="C1" s="944"/>
    </row>
    <row r="3" spans="2:9" x14ac:dyDescent="0.25">
      <c r="C3" s="3" t="s">
        <v>883</v>
      </c>
    </row>
    <row r="4" spans="2:9" ht="13" x14ac:dyDescent="0.25">
      <c r="B4" s="157" t="s">
        <v>884</v>
      </c>
      <c r="C4" s="158">
        <f>C5+C6</f>
        <v>22702.612903225807</v>
      </c>
    </row>
    <row r="5" spans="2:9" x14ac:dyDescent="0.25">
      <c r="B5" s="3" t="s">
        <v>885</v>
      </c>
      <c r="C5" s="156">
        <f>'Budget détaillé prev'!I13</f>
        <v>18281.612903225807</v>
      </c>
    </row>
    <row r="6" spans="2:9" x14ac:dyDescent="0.25">
      <c r="B6" s="3" t="s">
        <v>886</v>
      </c>
      <c r="C6" s="156">
        <f>'Budget détaillé prev'!I33</f>
        <v>4421</v>
      </c>
      <c r="G6" s="4" t="s">
        <v>887</v>
      </c>
      <c r="H6" s="161">
        <f>'Recettes et simulat prev'!E7</f>
        <v>20</v>
      </c>
    </row>
    <row r="7" spans="2:9" ht="13" x14ac:dyDescent="0.25">
      <c r="B7" s="157" t="s">
        <v>888</v>
      </c>
      <c r="C7" s="158">
        <f>SUM(C8:C10)</f>
        <v>0</v>
      </c>
      <c r="G7" s="4" t="s">
        <v>889</v>
      </c>
      <c r="H7" s="3">
        <f>H6-H8</f>
        <v>5</v>
      </c>
      <c r="I7" s="159">
        <f>IFERROR(H7/H6,0)</f>
        <v>0.25</v>
      </c>
    </row>
    <row r="8" spans="2:9" x14ac:dyDescent="0.25">
      <c r="B8" s="3" t="s">
        <v>867</v>
      </c>
      <c r="C8" s="156">
        <f>Paramétrage!P5*'comparatif simplifié'!$C$12</f>
        <v>0</v>
      </c>
      <c r="G8" s="4" t="s">
        <v>890</v>
      </c>
      <c r="H8" s="3">
        <f>H10+H11</f>
        <v>15</v>
      </c>
      <c r="I8" s="159">
        <f>IFERROR(H8/H6,0)</f>
        <v>0.75</v>
      </c>
    </row>
    <row r="9" spans="2:9" x14ac:dyDescent="0.25">
      <c r="B9" s="3" t="s">
        <v>745</v>
      </c>
      <c r="C9" s="156">
        <f>Paramétrage!P6*'comparatif simplifié'!$C$12</f>
        <v>0</v>
      </c>
    </row>
    <row r="10" spans="2:9" x14ac:dyDescent="0.25">
      <c r="B10" s="3" t="s">
        <v>423</v>
      </c>
      <c r="C10" s="156">
        <f>Paramétrage!P7*'comparatif simplifié'!$C$12</f>
        <v>0</v>
      </c>
      <c r="G10" s="4" t="s">
        <v>891</v>
      </c>
      <c r="H10" s="161">
        <v>15</v>
      </c>
    </row>
    <row r="11" spans="2:9" ht="13" x14ac:dyDescent="0.25">
      <c r="B11" s="157" t="s">
        <v>892</v>
      </c>
      <c r="C11" s="158">
        <f>C7+C4</f>
        <v>22702.612903225807</v>
      </c>
      <c r="G11" s="4" t="s">
        <v>893</v>
      </c>
      <c r="H11" s="161">
        <v>0</v>
      </c>
    </row>
    <row r="12" spans="2:9" ht="13" x14ac:dyDescent="0.25">
      <c r="B12" s="157" t="s">
        <v>894</v>
      </c>
      <c r="C12" s="158">
        <f>'Recettes et simulat prev'!K28</f>
        <v>0</v>
      </c>
      <c r="G12" s="4" t="s">
        <v>895</v>
      </c>
      <c r="H12" s="161">
        <v>0</v>
      </c>
    </row>
    <row r="13" spans="2:9" ht="13" x14ac:dyDescent="0.25">
      <c r="B13" s="157" t="s">
        <v>896</v>
      </c>
      <c r="C13" s="158">
        <f>'Excédent mobilisable prev'!I55</f>
        <v>0</v>
      </c>
    </row>
    <row r="14" spans="2:9" ht="13" x14ac:dyDescent="0.25">
      <c r="B14" s="164" t="s">
        <v>882</v>
      </c>
      <c r="C14" s="165">
        <f>C12-C11+C13</f>
        <v>-22702.612903225807</v>
      </c>
      <c r="G14" s="3" t="s">
        <v>897</v>
      </c>
      <c r="H14" s="161">
        <v>350</v>
      </c>
    </row>
    <row r="15" spans="2:9" x14ac:dyDescent="0.25">
      <c r="G15" s="3" t="s">
        <v>898</v>
      </c>
      <c r="H15" s="161">
        <v>24</v>
      </c>
    </row>
    <row r="17" spans="2:8" x14ac:dyDescent="0.25">
      <c r="B17" s="943" t="s">
        <v>899</v>
      </c>
      <c r="C17" s="945"/>
      <c r="D17" s="945"/>
      <c r="E17" s="944"/>
    </row>
    <row r="19" spans="2:8" x14ac:dyDescent="0.25">
      <c r="C19" s="4" t="s">
        <v>712</v>
      </c>
      <c r="D19" s="4" t="s">
        <v>240</v>
      </c>
      <c r="E19" s="4" t="s">
        <v>883</v>
      </c>
    </row>
    <row r="20" spans="2:8" x14ac:dyDescent="0.25">
      <c r="B20" s="3" t="s">
        <v>884</v>
      </c>
      <c r="C20" s="156">
        <f>'Budget détaillé prev'!I13+'Budget détaillé prev'!I33</f>
        <v>22702.612903225807</v>
      </c>
      <c r="D20" s="156">
        <f>'Budget détaillé prev'!J13+'Budget détaillé prev'!J33</f>
        <v>0</v>
      </c>
      <c r="E20" s="156">
        <f>'Budget détaillé prev'!K13+'Budget détaillé prev'!K33</f>
        <v>22702.612903225807</v>
      </c>
    </row>
    <row r="21" spans="2:8" x14ac:dyDescent="0.25">
      <c r="B21" s="3" t="s">
        <v>900</v>
      </c>
      <c r="C21" s="156">
        <f>'Budget détaillé prev'!I42</f>
        <v>250</v>
      </c>
      <c r="D21" s="156">
        <f>'Budget détaillé prev'!J42</f>
        <v>0</v>
      </c>
      <c r="E21" s="156">
        <f>'Budget détaillé prev'!K42</f>
        <v>250</v>
      </c>
    </row>
    <row r="22" spans="2:8" x14ac:dyDescent="0.25">
      <c r="B22" s="3" t="s">
        <v>218</v>
      </c>
      <c r="C22" s="156">
        <f>'Budget détaillé prev'!I66</f>
        <v>10113.599999999999</v>
      </c>
      <c r="D22" s="156">
        <f>'Budget détaillé prev'!J66</f>
        <v>0</v>
      </c>
      <c r="E22" s="156">
        <f>'Budget détaillé prev'!K66</f>
        <v>10113.599999999999</v>
      </c>
    </row>
    <row r="23" spans="2:8" x14ac:dyDescent="0.25">
      <c r="B23" s="4" t="s">
        <v>901</v>
      </c>
      <c r="C23" s="156">
        <f>SUM(C20:C22)</f>
        <v>33066.212903225809</v>
      </c>
      <c r="D23" s="156">
        <f>SUM(D20:D22)</f>
        <v>0</v>
      </c>
      <c r="E23" s="156">
        <f>SUM(E20:E22)</f>
        <v>33066.212903225809</v>
      </c>
    </row>
    <row r="24" spans="2:8" x14ac:dyDescent="0.25">
      <c r="B24" s="4" t="s">
        <v>902</v>
      </c>
      <c r="C24" s="156">
        <f>'Budget détaillé prev'!I79</f>
        <v>51180</v>
      </c>
      <c r="D24" s="156">
        <f>'Budget détaillé prev'!J79</f>
        <v>1140</v>
      </c>
      <c r="E24" s="156">
        <f>'Budget détaillé prev'!K79</f>
        <v>50040</v>
      </c>
    </row>
    <row r="25" spans="2:8" x14ac:dyDescent="0.25">
      <c r="B25" s="166" t="s">
        <v>903</v>
      </c>
      <c r="C25" s="167">
        <f>C24-C23+C21</f>
        <v>18363.787096774191</v>
      </c>
      <c r="D25" s="167">
        <f>D24-D23+D21</f>
        <v>1140</v>
      </c>
      <c r="E25" s="167">
        <f>E24-E23+E21</f>
        <v>17223.787096774191</v>
      </c>
    </row>
    <row r="26" spans="2:8" ht="13" x14ac:dyDescent="0.25">
      <c r="B26" s="164" t="s">
        <v>904</v>
      </c>
      <c r="C26" s="165">
        <f>C24-C23</f>
        <v>18113.787096774191</v>
      </c>
      <c r="D26" s="165">
        <f>D24-D23</f>
        <v>1140</v>
      </c>
      <c r="E26" s="165">
        <f>E24-E23</f>
        <v>16973.787096774191</v>
      </c>
    </row>
    <row r="27" spans="2:8" ht="25" x14ac:dyDescent="0.25">
      <c r="B27" s="163" t="s">
        <v>905</v>
      </c>
      <c r="C27" s="160">
        <f>ROUND('calcul heures'!G24,0)</f>
        <v>165</v>
      </c>
      <c r="D27" s="160">
        <f>ROUND('calcul heures'!H24,0)</f>
        <v>0</v>
      </c>
      <c r="E27" s="160">
        <f>ROUND('calcul heures'!I24,0)</f>
        <v>165</v>
      </c>
      <c r="G27" s="163" t="s">
        <v>906</v>
      </c>
      <c r="H27" s="3">
        <f>IFERROR(ROUND(400*H7/H6,0),0)</f>
        <v>100</v>
      </c>
    </row>
    <row r="28" spans="2:8" x14ac:dyDescent="0.25">
      <c r="B28" s="4" t="s">
        <v>907</v>
      </c>
      <c r="C28" s="160">
        <f>IFERROR(C27/H6,0)</f>
        <v>8.25</v>
      </c>
      <c r="D28" s="160">
        <f>IFERROR(D27/(H6-H8),0)</f>
        <v>0</v>
      </c>
      <c r="E28" s="160">
        <f>IFERROR(E27/H8,0)</f>
        <v>11</v>
      </c>
    </row>
    <row r="29" spans="2:8" x14ac:dyDescent="0.25">
      <c r="D29" s="159"/>
      <c r="E29" s="159"/>
    </row>
  </sheetData>
  <mergeCells count="2">
    <mergeCell ref="B1:C1"/>
    <mergeCell ref="B17:E17"/>
  </mergeCells>
  <pageMargins left="0.7" right="0.7" top="0.75" bottom="0.75" header="0.3" footer="0.3"/>
  <pageSetup paperSize="9" orientation="portrait" r:id="rId1"/>
  <legacy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4:S18"/>
  <sheetViews>
    <sheetView workbookViewId="0">
      <selection activeCell="M23" sqref="M23"/>
    </sheetView>
  </sheetViews>
  <sheetFormatPr baseColWidth="10" defaultColWidth="11.54296875" defaultRowHeight="12.5" outlineLevelRow="1" x14ac:dyDescent="0.25"/>
  <cols>
    <col min="1" max="16384" width="11.54296875" style="1"/>
  </cols>
  <sheetData>
    <row r="4" spans="1:19" ht="13" thickBot="1" x14ac:dyDescent="0.3"/>
    <row r="5" spans="1:19" ht="13" outlineLevel="1" thickBot="1" x14ac:dyDescent="0.3">
      <c r="B5" s="96"/>
      <c r="C5" s="96"/>
      <c r="D5" s="96"/>
      <c r="E5" s="96"/>
      <c r="F5" s="96"/>
      <c r="G5" s="96"/>
      <c r="H5" s="89"/>
      <c r="I5" s="90" t="s">
        <v>712</v>
      </c>
      <c r="J5" s="91" t="s">
        <v>240</v>
      </c>
      <c r="K5" s="92" t="s">
        <v>710</v>
      </c>
      <c r="L5" s="93"/>
    </row>
    <row r="6" spans="1:19" ht="18" customHeight="1" outlineLevel="1" x14ac:dyDescent="0.25">
      <c r="B6" s="950" t="s">
        <v>908</v>
      </c>
      <c r="C6" s="907"/>
      <c r="D6" s="53" t="s">
        <v>902</v>
      </c>
      <c r="E6" s="142"/>
      <c r="F6" s="143"/>
      <c r="G6" s="144"/>
      <c r="H6" s="145"/>
      <c r="I6" s="149">
        <f>'Budget détaillé prev'!I79</f>
        <v>51180</v>
      </c>
      <c r="J6" s="150">
        <f>'Budget détaillé prev'!J79</f>
        <v>1140</v>
      </c>
      <c r="K6" s="31">
        <f>'Budget détaillé prev'!K79</f>
        <v>50040</v>
      </c>
    </row>
    <row r="7" spans="1:19" ht="18" customHeight="1" outlineLevel="1" x14ac:dyDescent="0.25">
      <c r="B7" s="951"/>
      <c r="C7" s="952"/>
      <c r="D7" s="147" t="s">
        <v>909</v>
      </c>
      <c r="E7" s="142"/>
      <c r="F7" s="143"/>
      <c r="G7" s="144"/>
      <c r="H7" s="86"/>
      <c r="I7" s="151">
        <f>'Budget détaillé prev'!I69</f>
        <v>33066.212903225809</v>
      </c>
      <c r="J7" s="146">
        <f>'Budget détaillé prev'!J69</f>
        <v>0</v>
      </c>
      <c r="K7" s="32">
        <f>'Budget détaillé prev'!K69</f>
        <v>33066.212903225809</v>
      </c>
    </row>
    <row r="8" spans="1:19" ht="18" customHeight="1" outlineLevel="1" x14ac:dyDescent="0.25">
      <c r="B8" s="951"/>
      <c r="C8" s="952"/>
      <c r="D8" s="53" t="s">
        <v>910</v>
      </c>
      <c r="E8" s="142"/>
      <c r="F8" s="143"/>
      <c r="G8" s="144"/>
      <c r="H8" s="145"/>
      <c r="I8" s="766">
        <f>'Budget détaillé prev'!I13+'Budget détaillé prev'!I42+'Budget détaillé prev'!I58</f>
        <v>18531.612903225807</v>
      </c>
      <c r="J8" s="274">
        <f>'Budget détaillé prev'!J13+'Budget détaillé prev'!J42+'Budget détaillé prev'!J58</f>
        <v>0</v>
      </c>
      <c r="K8" s="767">
        <f>'Budget détaillé prev'!K13+'Budget détaillé prev'!K42+'Budget détaillé prev'!K58</f>
        <v>18531.612903225807</v>
      </c>
      <c r="L8" s="12"/>
      <c r="M8" s="12"/>
      <c r="N8" s="12"/>
      <c r="O8" s="12"/>
      <c r="P8" s="12"/>
      <c r="Q8" s="12"/>
      <c r="R8" s="12"/>
      <c r="S8" s="12"/>
    </row>
    <row r="9" spans="1:19" ht="18" customHeight="1" outlineLevel="1" x14ac:dyDescent="0.25">
      <c r="B9" s="951"/>
      <c r="C9" s="952"/>
      <c r="D9" s="53" t="s">
        <v>911</v>
      </c>
      <c r="E9" s="48"/>
      <c r="F9" s="47"/>
      <c r="G9" s="49"/>
      <c r="H9" s="86"/>
      <c r="I9" s="152">
        <f>IFERROR(ROUNDUP(I8/'Budget détaillé prev'!$K$80,0),0)</f>
        <v>8</v>
      </c>
      <c r="J9" s="83">
        <f>IFERROR(ROUNDUP(J8/'Budget détaillé prev'!$K$80,0),0)</f>
        <v>0</v>
      </c>
      <c r="K9" s="55">
        <f>IFERROR(ROUNDUP(K8/'Budget détaillé prev'!$K$80,0),0)</f>
        <v>8</v>
      </c>
    </row>
    <row r="10" spans="1:19" ht="18" customHeight="1" outlineLevel="1" thickBot="1" x14ac:dyDescent="0.3">
      <c r="B10" s="953"/>
      <c r="C10" s="954"/>
      <c r="D10" s="54" t="s">
        <v>912</v>
      </c>
      <c r="E10" s="51"/>
      <c r="F10" s="50"/>
      <c r="G10" s="52"/>
      <c r="H10" s="87"/>
      <c r="I10" s="153">
        <f>IFERROR(ROUNDUP(I7/'Budget détaillé prev'!$K$80,0),0)</f>
        <v>14</v>
      </c>
      <c r="J10" s="84">
        <f>IFERROR(ROUNDUP(J7/'Budget détaillé prev'!$K$80,0),0)</f>
        <v>0</v>
      </c>
      <c r="K10" s="56">
        <f>IFERROR(ROUNDUP(K7/'Budget détaillé prev'!$K$80,0),0)</f>
        <v>14</v>
      </c>
    </row>
    <row r="11" spans="1:19" ht="18" customHeight="1" outlineLevel="1" thickBot="1" x14ac:dyDescent="0.3">
      <c r="A11" s="141"/>
      <c r="B11" s="148" t="s">
        <v>913</v>
      </c>
      <c r="C11" s="94"/>
      <c r="D11" s="77"/>
      <c r="E11" s="78"/>
      <c r="F11" s="79"/>
      <c r="G11" s="80"/>
      <c r="H11" s="88"/>
      <c r="I11" s="85">
        <f>'calcul heures'!G24</f>
        <v>165</v>
      </c>
      <c r="J11" s="82">
        <f>'calcul heures'!H24</f>
        <v>0</v>
      </c>
      <c r="K11" s="81">
        <f>'calcul heures'!I24</f>
        <v>165</v>
      </c>
    </row>
    <row r="12" spans="1:19" outlineLevel="1" x14ac:dyDescent="0.25"/>
    <row r="13" spans="1:19" outlineLevel="1" x14ac:dyDescent="0.25"/>
    <row r="14" spans="1:19" outlineLevel="1" x14ac:dyDescent="0.25">
      <c r="B14" s="949" t="s">
        <v>914</v>
      </c>
      <c r="C14" s="949"/>
      <c r="D14" s="949"/>
      <c r="E14" s="949"/>
      <c r="F14" s="949"/>
      <c r="G14" s="949"/>
      <c r="H14" s="949"/>
      <c r="I14" s="949"/>
      <c r="J14" s="949"/>
      <c r="K14" s="949"/>
      <c r="L14" s="949"/>
      <c r="M14" s="949"/>
    </row>
    <row r="15" spans="1:19" outlineLevel="1" x14ac:dyDescent="0.25"/>
    <row r="16" spans="1:19" outlineLevel="1" x14ac:dyDescent="0.25">
      <c r="D16" s="955" t="s">
        <v>915</v>
      </c>
      <c r="E16" s="955"/>
      <c r="F16" s="955"/>
      <c r="G16" s="955"/>
      <c r="H16" s="955"/>
      <c r="I16" s="955" t="s">
        <v>916</v>
      </c>
      <c r="J16" s="955"/>
      <c r="K16" s="955"/>
      <c r="L16" s="955"/>
      <c r="M16" s="955"/>
    </row>
    <row r="17" spans="2:13" ht="84" customHeight="1" outlineLevel="1" x14ac:dyDescent="0.25">
      <c r="B17" s="947" t="s">
        <v>711</v>
      </c>
      <c r="C17" s="948"/>
      <c r="D17" s="956" t="s">
        <v>917</v>
      </c>
      <c r="E17" s="956"/>
      <c r="F17" s="956"/>
      <c r="G17" s="956"/>
      <c r="H17" s="956"/>
      <c r="I17" s="956" t="s">
        <v>918</v>
      </c>
      <c r="J17" s="956"/>
      <c r="K17" s="956"/>
      <c r="L17" s="956"/>
      <c r="M17" s="956"/>
    </row>
    <row r="18" spans="2:13" ht="45" customHeight="1" outlineLevel="1" x14ac:dyDescent="0.25">
      <c r="B18" s="947" t="s">
        <v>919</v>
      </c>
      <c r="C18" s="948"/>
      <c r="D18" s="946" t="s">
        <v>920</v>
      </c>
      <c r="E18" s="946"/>
      <c r="F18" s="946"/>
      <c r="G18" s="946"/>
      <c r="H18" s="946"/>
      <c r="I18" s="946" t="s">
        <v>921</v>
      </c>
      <c r="J18" s="946"/>
      <c r="K18" s="946"/>
      <c r="L18" s="946"/>
      <c r="M18" s="946"/>
    </row>
  </sheetData>
  <mergeCells count="10">
    <mergeCell ref="B6:C10"/>
    <mergeCell ref="D16:H16"/>
    <mergeCell ref="I16:M16"/>
    <mergeCell ref="D17:H17"/>
    <mergeCell ref="I17:M17"/>
    <mergeCell ref="D18:H18"/>
    <mergeCell ref="I18:M18"/>
    <mergeCell ref="B18:C18"/>
    <mergeCell ref="B17:C17"/>
    <mergeCell ref="B14:M14"/>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816EC2-1735-42E4-A571-A8BFD4AD96C8}">
  <sheetPr>
    <tabColor theme="5" tint="0.79998168889431442"/>
    <pageSetUpPr fitToPage="1"/>
  </sheetPr>
  <dimension ref="A1:AJ63"/>
  <sheetViews>
    <sheetView showGridLines="0" tabSelected="1" zoomScale="44" zoomScaleNormal="38" workbookViewId="0">
      <selection activeCell="P21" sqref="P21"/>
    </sheetView>
  </sheetViews>
  <sheetFormatPr baseColWidth="10" defaultColWidth="31.54296875" defaultRowHeight="12.5" x14ac:dyDescent="0.25"/>
  <cols>
    <col min="1" max="1" width="31" customWidth="1"/>
    <col min="2" max="2" width="41" customWidth="1"/>
    <col min="3" max="3" width="21.453125" customWidth="1"/>
    <col min="4" max="4" width="24.1796875" customWidth="1"/>
    <col min="5" max="7" width="20.7265625" customWidth="1"/>
    <col min="8" max="8" width="6.1796875" style="411" customWidth="1"/>
    <col min="9" max="9" width="34.26953125" customWidth="1"/>
    <col min="10" max="11" width="20.7265625" customWidth="1"/>
    <col min="12" max="12" width="3" customWidth="1"/>
    <col min="13" max="33" width="14.1796875" customWidth="1"/>
    <col min="34" max="34" width="13" customWidth="1"/>
    <col min="35" max="35" width="19.26953125" customWidth="1"/>
    <col min="36" max="37" width="31.54296875" customWidth="1"/>
  </cols>
  <sheetData>
    <row r="1" spans="1:36" ht="20" x14ac:dyDescent="0.25">
      <c r="A1" s="408" t="s">
        <v>55</v>
      </c>
      <c r="B1" s="409"/>
      <c r="C1" s="409"/>
      <c r="D1" s="409"/>
      <c r="E1" s="409"/>
      <c r="F1" s="409"/>
      <c r="G1" s="410"/>
      <c r="I1" s="412" t="s">
        <v>56</v>
      </c>
      <c r="J1" s="413"/>
      <c r="K1" s="413"/>
    </row>
    <row r="2" spans="1:36" ht="15.75" customHeight="1" x14ac:dyDescent="0.25">
      <c r="A2" s="414" t="s">
        <v>57</v>
      </c>
      <c r="B2" s="569" t="s">
        <v>58</v>
      </c>
      <c r="C2" s="415"/>
      <c r="D2" s="415"/>
      <c r="E2" s="415"/>
      <c r="F2" s="415"/>
      <c r="G2" s="415"/>
      <c r="I2" s="646" t="s">
        <v>59</v>
      </c>
      <c r="J2" s="645" t="s">
        <v>60</v>
      </c>
      <c r="K2" s="416"/>
    </row>
    <row r="3" spans="1:36" ht="15.75" customHeight="1" x14ac:dyDescent="0.25">
      <c r="A3" s="415"/>
      <c r="B3" s="415"/>
      <c r="C3" s="415"/>
      <c r="D3" s="415"/>
      <c r="E3" s="415"/>
      <c r="F3" s="415"/>
      <c r="G3" s="415"/>
      <c r="I3" s="646" t="s">
        <v>61</v>
      </c>
      <c r="J3" s="645" t="s">
        <v>62</v>
      </c>
    </row>
    <row r="4" spans="1:36" ht="15.75" customHeight="1" x14ac:dyDescent="0.25">
      <c r="A4" s="647" t="s">
        <v>63</v>
      </c>
      <c r="B4" s="192" t="s">
        <v>64</v>
      </c>
      <c r="I4" s="646" t="s">
        <v>65</v>
      </c>
      <c r="J4" s="645" t="s">
        <v>66</v>
      </c>
    </row>
    <row r="5" spans="1:36" ht="15.75" customHeight="1" x14ac:dyDescent="0.25"/>
    <row r="6" spans="1:36" ht="24" customHeight="1" x14ac:dyDescent="0.25">
      <c r="A6" s="414" t="s">
        <v>67</v>
      </c>
      <c r="B6" s="417"/>
      <c r="D6" s="414" t="s">
        <v>68</v>
      </c>
      <c r="E6" s="418"/>
      <c r="F6" s="419"/>
      <c r="I6" s="687" t="s">
        <v>69</v>
      </c>
      <c r="J6" s="420"/>
      <c r="K6" s="421"/>
    </row>
    <row r="7" spans="1:36" ht="17.649999999999999" customHeight="1" x14ac:dyDescent="0.25">
      <c r="A7" s="422" t="s">
        <v>70</v>
      </c>
      <c r="B7" s="570" t="s">
        <v>71</v>
      </c>
      <c r="D7" s="800"/>
      <c r="E7" s="789" t="s">
        <v>72</v>
      </c>
      <c r="F7" s="789" t="s">
        <v>73</v>
      </c>
      <c r="I7" s="802"/>
      <c r="J7" s="802" t="s">
        <v>72</v>
      </c>
      <c r="K7" s="802" t="s">
        <v>74</v>
      </c>
    </row>
    <row r="8" spans="1:36" ht="17.649999999999999" customHeight="1" x14ac:dyDescent="0.25">
      <c r="A8" s="422" t="s">
        <v>75</v>
      </c>
      <c r="B8" s="570" t="s">
        <v>76</v>
      </c>
      <c r="D8" s="801"/>
      <c r="E8" s="791"/>
      <c r="F8" s="791"/>
      <c r="I8" s="803"/>
      <c r="J8" s="803"/>
      <c r="K8" s="803"/>
    </row>
    <row r="9" spans="1:36" ht="17.649999999999999" customHeight="1" x14ac:dyDescent="0.25">
      <c r="A9" s="422" t="s">
        <v>77</v>
      </c>
      <c r="B9" s="570" t="s">
        <v>78</v>
      </c>
      <c r="D9" s="422" t="s">
        <v>79</v>
      </c>
      <c r="E9" s="192">
        <f>E10+E15</f>
        <v>20</v>
      </c>
      <c r="F9" s="192">
        <f>F10+F15</f>
        <v>0</v>
      </c>
      <c r="I9" s="774" t="s">
        <v>80</v>
      </c>
      <c r="J9" s="807">
        <f>'Excédent mobilisable prev'!I55</f>
        <v>0</v>
      </c>
      <c r="K9" s="807">
        <f>'Excédent mobilisable réel'!I55</f>
        <v>0</v>
      </c>
    </row>
    <row r="10" spans="1:36" ht="17.649999999999999" customHeight="1" x14ac:dyDescent="0.25">
      <c r="A10" s="422" t="s">
        <v>81</v>
      </c>
      <c r="B10" s="570" t="s">
        <v>82</v>
      </c>
      <c r="D10" s="422" t="s">
        <v>83</v>
      </c>
      <c r="E10" s="192">
        <f>SUM(E11:E14)</f>
        <v>20</v>
      </c>
      <c r="F10" s="192">
        <f>SUM(F11:F14)</f>
        <v>0</v>
      </c>
      <c r="I10" s="775"/>
      <c r="J10" s="808"/>
      <c r="K10" s="808"/>
    </row>
    <row r="11" spans="1:36" ht="33" customHeight="1" x14ac:dyDescent="0.25">
      <c r="A11" s="422" t="s">
        <v>76</v>
      </c>
      <c r="B11" s="651" t="s">
        <v>84</v>
      </c>
      <c r="D11" s="423" t="s">
        <v>85</v>
      </c>
      <c r="E11" s="571"/>
      <c r="F11" s="571"/>
      <c r="I11" s="686" t="s">
        <v>86</v>
      </c>
      <c r="J11" s="652">
        <f>'Budget détaillé prev'!I79</f>
        <v>51180</v>
      </c>
      <c r="K11" s="652">
        <f>'Budget détaillé réel'!I79</f>
        <v>0</v>
      </c>
    </row>
    <row r="12" spans="1:36" ht="33" customHeight="1" x14ac:dyDescent="0.25">
      <c r="A12" s="422" t="s">
        <v>87</v>
      </c>
      <c r="B12" s="651"/>
      <c r="D12" s="426" t="s">
        <v>88</v>
      </c>
      <c r="E12" s="571"/>
      <c r="F12" s="571"/>
      <c r="I12" s="804" t="s">
        <v>89</v>
      </c>
      <c r="J12" s="776">
        <f>'Budget détaillé prev'!I53</f>
        <v>22952.612903225807</v>
      </c>
      <c r="K12" s="776">
        <f>'Budget détaillé réel'!I53</f>
        <v>0</v>
      </c>
      <c r="AI12" t="str">
        <f>CONCATENATE(B9,B11)</f>
        <v>DUIPsyL</v>
      </c>
      <c r="AJ12" t="str" cm="1">
        <f t="array" aca="1" ref="AJ12:AJ19" ca="1">INDIRECT(AI12)</f>
        <v>DU APR Analyse de la Pratique et Régulation institutionnelle - FC</v>
      </c>
    </row>
    <row r="13" spans="1:36" ht="17.649999999999999" customHeight="1" x14ac:dyDescent="0.25">
      <c r="A13" s="422" t="s">
        <v>90</v>
      </c>
      <c r="B13" s="651" t="s">
        <v>91</v>
      </c>
      <c r="D13" s="805" t="s">
        <v>92</v>
      </c>
      <c r="E13" s="793">
        <v>20</v>
      </c>
      <c r="F13" s="793"/>
      <c r="I13" s="780"/>
      <c r="J13" s="776"/>
      <c r="K13" s="776"/>
      <c r="AJ13" t="str">
        <f ca="1"/>
        <v>DU MPO Management psychologique des organisations - FC</v>
      </c>
    </row>
    <row r="14" spans="1:36" ht="17.649999999999999" customHeight="1" x14ac:dyDescent="0.25">
      <c r="A14" s="673" t="s">
        <v>93</v>
      </c>
      <c r="B14" s="428">
        <f>IFERROR(IF($B$8="CFA Lyon 2",INDEX(Paramétrage!Y:Y,MATCH(Formulaire!B12,Paramétrage!V:V,0)),0),"")</f>
        <v>0</v>
      </c>
      <c r="D14" s="806"/>
      <c r="E14" s="794"/>
      <c r="F14" s="794"/>
      <c r="I14" s="193"/>
      <c r="J14" s="653"/>
      <c r="K14" s="653"/>
      <c r="AJ14" t="str">
        <f ca="1"/>
        <v>DU AGTA Animateur de groupe thérapeutique ou d'accompagnement - FC</v>
      </c>
    </row>
    <row r="15" spans="1:36" ht="17.649999999999999" customHeight="1" x14ac:dyDescent="0.25">
      <c r="A15" s="673" t="s">
        <v>94</v>
      </c>
      <c r="B15" s="428">
        <f>IFERROR(INDEX(Paramétrage!Y:Y,MATCH(Formulaire!B12,Paramétrage!V:V,0)),0)</f>
        <v>0</v>
      </c>
      <c r="D15" s="798" t="s">
        <v>95</v>
      </c>
      <c r="E15" s="793"/>
      <c r="F15" s="793"/>
      <c r="I15" s="193"/>
      <c r="J15" s="653"/>
      <c r="K15" s="653"/>
      <c r="AJ15" t="str">
        <f ca="1"/>
        <v>DU APG Approche psychanalytique du groupe</v>
      </c>
    </row>
    <row r="16" spans="1:36" ht="18" customHeight="1" x14ac:dyDescent="0.25">
      <c r="A16" s="427" t="s">
        <v>96</v>
      </c>
      <c r="B16" s="746">
        <v>0</v>
      </c>
      <c r="D16" s="799"/>
      <c r="E16" s="794"/>
      <c r="F16" s="794"/>
      <c r="I16" s="193"/>
      <c r="J16" s="653"/>
      <c r="K16" s="653"/>
      <c r="AJ16" t="str">
        <f ca="1"/>
        <v>DU DUBPSY Bilan Psychologique - FC</v>
      </c>
    </row>
    <row r="17" spans="1:36" ht="19.5" customHeight="1" x14ac:dyDescent="0.25">
      <c r="A17" s="430"/>
      <c r="B17" s="178"/>
      <c r="D17" s="768" t="s">
        <v>97</v>
      </c>
      <c r="E17" s="750">
        <f>ROUND(IFERROR(MIN(ROUND(VLOOKUP($B$12,Paramétrage!V6:W192,2,FALSE),0)*(E9-E10)/E9,ROUND(400*(E9-E10)/E9,0)),0),2)</f>
        <v>0</v>
      </c>
      <c r="F17" s="750">
        <f>ROUND(IFERROR(MIN(ROUND(VLOOKUP($B$12,Paramétrage!V6:W192,2,FALSE),0)*(F9-F10)/F9,ROUND(400*(F9-F10)/F9,0)),0),2)</f>
        <v>0</v>
      </c>
      <c r="G17" s="193"/>
      <c r="I17" s="193"/>
      <c r="J17" s="649"/>
      <c r="K17" s="649"/>
      <c r="AJ17" t="str">
        <f ca="1"/>
        <v>DU DUCTI Cliniques du Travail et Pratiques d'Intervention - FC</v>
      </c>
    </row>
    <row r="18" spans="1:36" ht="16.5" customHeight="1" x14ac:dyDescent="0.25">
      <c r="A18" s="430"/>
      <c r="B18" s="178"/>
      <c r="E18" s="193"/>
      <c r="F18" s="193"/>
      <c r="G18" s="193"/>
      <c r="I18" s="193"/>
      <c r="J18" s="649"/>
      <c r="K18" s="649"/>
      <c r="AJ18" t="str">
        <f ca="1"/>
        <v>DU DUCAAMA Concepteur Animateur d'Atelier à Médiation Artistique - FC</v>
      </c>
    </row>
    <row r="19" spans="1:36" ht="24" customHeight="1" x14ac:dyDescent="0.3">
      <c r="A19" s="431" t="s">
        <v>98</v>
      </c>
      <c r="B19" s="432"/>
      <c r="C19" s="432"/>
      <c r="D19" s="432"/>
      <c r="E19" s="432"/>
      <c r="I19" s="687" t="s">
        <v>99</v>
      </c>
      <c r="J19" s="420"/>
      <c r="K19" s="421"/>
      <c r="AJ19" t="str">
        <f ca="1"/>
        <v>DU DUPPABF Psychopathologie &amp; Prévention auprès du Bébé et de sa Famille - FC</v>
      </c>
    </row>
    <row r="20" spans="1:36" ht="17.899999999999999" customHeight="1" x14ac:dyDescent="0.25">
      <c r="A20" s="414" t="s">
        <v>100</v>
      </c>
      <c r="B20" s="414"/>
      <c r="C20" s="414"/>
      <c r="D20" s="414"/>
      <c r="E20" s="414"/>
      <c r="I20" s="688" t="s">
        <v>101</v>
      </c>
      <c r="J20" s="689"/>
      <c r="K20" s="689"/>
    </row>
    <row r="21" spans="1:36" ht="17.899999999999999" customHeight="1" x14ac:dyDescent="0.25">
      <c r="B21" s="423" t="s">
        <v>102</v>
      </c>
      <c r="C21" s="423" t="s">
        <v>103</v>
      </c>
      <c r="D21" s="423" t="s">
        <v>104</v>
      </c>
      <c r="E21" s="433" t="s">
        <v>105</v>
      </c>
      <c r="I21" s="684" t="s">
        <v>106</v>
      </c>
      <c r="J21" s="425">
        <f>'Budget détaillé prev'!K66</f>
        <v>10113.599999999999</v>
      </c>
      <c r="K21" s="425">
        <f>'Budget détaillé réel'!K66</f>
        <v>0</v>
      </c>
    </row>
    <row r="22" spans="1:36" ht="17.899999999999999" customHeight="1" x14ac:dyDescent="0.25">
      <c r="A22" s="789" t="s">
        <v>72</v>
      </c>
      <c r="B22" s="434" t="s">
        <v>107</v>
      </c>
      <c r="C22" s="572"/>
      <c r="D22" s="769"/>
      <c r="E22" s="795">
        <f>SUM(C22:C26)</f>
        <v>50040</v>
      </c>
      <c r="I22" s="684" t="s">
        <v>108</v>
      </c>
      <c r="J22" s="435">
        <f>'Excédent mobilisable prev'!I43</f>
        <v>8006.4000000000005</v>
      </c>
      <c r="K22" s="435">
        <f>'Excédent mobilisable réel'!I43</f>
        <v>0</v>
      </c>
    </row>
    <row r="23" spans="1:36" ht="17.899999999999999" customHeight="1" x14ac:dyDescent="0.25">
      <c r="A23" s="790"/>
      <c r="B23" s="434" t="s">
        <v>109</v>
      </c>
      <c r="C23" s="572"/>
      <c r="D23" s="769"/>
      <c r="E23" s="796"/>
      <c r="F23" s="650"/>
      <c r="I23" s="47"/>
      <c r="J23" s="429"/>
      <c r="K23" s="429"/>
    </row>
    <row r="24" spans="1:36" ht="17.899999999999999" customHeight="1" x14ac:dyDescent="0.25">
      <c r="A24" s="790"/>
      <c r="B24" s="434" t="s">
        <v>110</v>
      </c>
      <c r="C24" s="572">
        <v>50040</v>
      </c>
      <c r="D24" s="769" t="s">
        <v>922</v>
      </c>
      <c r="E24" s="796"/>
      <c r="I24" s="688" t="s">
        <v>111</v>
      </c>
      <c r="J24" s="690"/>
      <c r="K24" s="690"/>
    </row>
    <row r="25" spans="1:36" ht="17.899999999999999" customHeight="1" x14ac:dyDescent="0.25">
      <c r="A25" s="790"/>
      <c r="B25" s="434" t="s">
        <v>112</v>
      </c>
      <c r="C25" s="572"/>
      <c r="D25" s="769"/>
      <c r="E25" s="796"/>
      <c r="I25" s="423" t="s">
        <v>113</v>
      </c>
      <c r="J25" s="436">
        <f>'Budget détaillé prev'!J86</f>
        <v>1140</v>
      </c>
      <c r="K25" s="436">
        <f>'Budget détaillé réel'!J86</f>
        <v>0</v>
      </c>
    </row>
    <row r="26" spans="1:36" ht="17.899999999999999" customHeight="1" x14ac:dyDescent="0.25">
      <c r="A26" s="791"/>
      <c r="B26" s="434" t="s">
        <v>114</v>
      </c>
      <c r="C26" s="572"/>
      <c r="D26" s="769"/>
      <c r="E26" s="797"/>
      <c r="I26" s="423" t="s">
        <v>115</v>
      </c>
      <c r="J26" s="436">
        <f>'Budget détaillé prev'!K86</f>
        <v>16973.787096774191</v>
      </c>
      <c r="K26" s="436">
        <f>'Budget détaillé réel'!K86</f>
        <v>0</v>
      </c>
    </row>
    <row r="27" spans="1:36" ht="17.899999999999999" customHeight="1" x14ac:dyDescent="0.25">
      <c r="A27" s="789" t="s">
        <v>73</v>
      </c>
      <c r="B27" s="434" t="s">
        <v>107</v>
      </c>
      <c r="C27" s="572"/>
      <c r="D27" s="769"/>
      <c r="E27" s="795">
        <f>SUM(C27:C31)</f>
        <v>0</v>
      </c>
      <c r="I27" s="423" t="s">
        <v>116</v>
      </c>
      <c r="J27" s="436">
        <f>'Budget détaillé prev'!I86</f>
        <v>18113.787096774191</v>
      </c>
      <c r="K27" s="436">
        <f>'Budget détaillé réel'!I86</f>
        <v>0</v>
      </c>
    </row>
    <row r="28" spans="1:36" ht="17.899999999999999" customHeight="1" x14ac:dyDescent="0.25">
      <c r="A28" s="790"/>
      <c r="B28" s="434" t="s">
        <v>109</v>
      </c>
      <c r="C28" s="572"/>
      <c r="D28" s="769"/>
      <c r="E28" s="796"/>
    </row>
    <row r="29" spans="1:36" ht="17.899999999999999" customHeight="1" x14ac:dyDescent="0.25">
      <c r="A29" s="790"/>
      <c r="B29" s="434" t="s">
        <v>110</v>
      </c>
      <c r="C29" s="572"/>
      <c r="D29" s="769"/>
      <c r="E29" s="796"/>
      <c r="I29" s="654" t="s">
        <v>117</v>
      </c>
      <c r="J29" s="655">
        <f>'Budget détaillé prev'!K70</f>
        <v>1653.3106451612905</v>
      </c>
      <c r="K29" s="655">
        <f>'Budget détaillé réel'!K70</f>
        <v>0</v>
      </c>
    </row>
    <row r="30" spans="1:36" ht="17.899999999999999" customHeight="1" x14ac:dyDescent="0.25">
      <c r="A30" s="790"/>
      <c r="B30" s="434" t="s">
        <v>112</v>
      </c>
      <c r="C30" s="572"/>
      <c r="D30" s="769"/>
      <c r="E30" s="796"/>
      <c r="I30" s="193"/>
      <c r="J30" s="653"/>
      <c r="K30" s="653"/>
    </row>
    <row r="31" spans="1:36" ht="17.899999999999999" customHeight="1" x14ac:dyDescent="0.25">
      <c r="A31" s="791"/>
      <c r="B31" s="434" t="s">
        <v>114</v>
      </c>
      <c r="C31" s="572"/>
      <c r="D31" s="769"/>
      <c r="E31" s="797"/>
      <c r="I31" s="792" t="s">
        <v>118</v>
      </c>
      <c r="J31" s="777">
        <f>$B$16*J11/100</f>
        <v>0</v>
      </c>
      <c r="K31" s="777">
        <f>$B$16*K11/100</f>
        <v>0</v>
      </c>
    </row>
    <row r="32" spans="1:36" ht="12.75" customHeight="1" x14ac:dyDescent="0.25">
      <c r="A32" s="437"/>
      <c r="B32" s="438"/>
      <c r="C32" s="438"/>
      <c r="D32" s="438"/>
      <c r="E32" s="438"/>
      <c r="I32" s="792"/>
      <c r="J32" s="777"/>
      <c r="K32" s="777"/>
    </row>
    <row r="33" spans="1:33" ht="24" customHeight="1" x14ac:dyDescent="0.25">
      <c r="J33" s="650"/>
    </row>
    <row r="34" spans="1:33" ht="17.649999999999999" customHeight="1" x14ac:dyDescent="0.25">
      <c r="A34" s="414" t="s">
        <v>119</v>
      </c>
      <c r="B34" s="439"/>
      <c r="C34" s="439"/>
      <c r="D34" s="440"/>
      <c r="I34" s="774" t="s">
        <v>120</v>
      </c>
      <c r="J34" s="776">
        <f>'Budget détaillé prev'!K86-J31</f>
        <v>16973.787096774191</v>
      </c>
      <c r="K34" s="776">
        <f>'Budget détaillé réel'!K86-K31</f>
        <v>0</v>
      </c>
      <c r="L34" s="657"/>
      <c r="M34" s="657"/>
      <c r="N34" s="657"/>
      <c r="O34" s="657"/>
      <c r="P34" s="657"/>
      <c r="Q34" s="657"/>
      <c r="R34" s="657"/>
      <c r="S34" s="657"/>
      <c r="T34" s="657"/>
      <c r="U34" s="657"/>
      <c r="V34" s="657"/>
      <c r="W34" s="657"/>
      <c r="X34" s="657"/>
      <c r="Y34" s="657"/>
      <c r="Z34" s="657"/>
      <c r="AA34" s="657"/>
      <c r="AB34" s="657"/>
      <c r="AC34" s="657"/>
      <c r="AD34" s="657"/>
      <c r="AE34" s="657"/>
      <c r="AF34" s="657"/>
      <c r="AG34" s="657"/>
    </row>
    <row r="35" spans="1:33" ht="17.649999999999999" customHeight="1" x14ac:dyDescent="0.3">
      <c r="A35" s="423" t="s">
        <v>121</v>
      </c>
      <c r="B35" s="424" t="s">
        <v>72</v>
      </c>
      <c r="C35" s="424" t="s">
        <v>73</v>
      </c>
      <c r="D35" s="441"/>
      <c r="E35" s="442"/>
      <c r="I35" s="775"/>
      <c r="J35" s="776"/>
      <c r="K35" s="776"/>
      <c r="L35" s="657"/>
      <c r="M35" s="657"/>
      <c r="N35" s="657"/>
      <c r="O35" s="657"/>
      <c r="P35" s="657"/>
      <c r="Q35" s="657"/>
      <c r="R35" s="657"/>
      <c r="S35" s="657"/>
      <c r="T35" s="657"/>
      <c r="U35" s="657"/>
      <c r="V35" s="657"/>
      <c r="W35" s="657"/>
      <c r="X35" s="657"/>
      <c r="Y35" s="657"/>
      <c r="Z35" s="657"/>
      <c r="AA35" s="657"/>
      <c r="AB35" s="657"/>
      <c r="AC35" s="657"/>
      <c r="AD35" s="657"/>
      <c r="AE35" s="657"/>
      <c r="AF35" s="657"/>
      <c r="AG35" s="657"/>
    </row>
    <row r="36" spans="1:33" ht="17.649999999999999" customHeight="1" x14ac:dyDescent="0.25">
      <c r="A36" s="443" t="s">
        <v>122</v>
      </c>
      <c r="B36" s="573">
        <v>15</v>
      </c>
      <c r="C36" s="573"/>
      <c r="D36" s="440"/>
      <c r="I36" s="657"/>
      <c r="J36" s="657"/>
      <c r="K36" s="657"/>
      <c r="L36" s="657"/>
      <c r="M36" s="657"/>
      <c r="N36" s="657"/>
      <c r="O36" s="657"/>
      <c r="P36" s="657"/>
      <c r="Q36" s="657"/>
      <c r="R36" s="657"/>
      <c r="S36" s="657"/>
      <c r="T36" s="657"/>
      <c r="U36" s="657"/>
      <c r="V36" s="657"/>
      <c r="W36" s="657"/>
      <c r="X36" s="657"/>
      <c r="Y36" s="657"/>
      <c r="Z36" s="657"/>
      <c r="AA36" s="657"/>
      <c r="AB36" s="657"/>
      <c r="AC36" s="657"/>
      <c r="AD36" s="657"/>
      <c r="AE36" s="657"/>
      <c r="AF36" s="657"/>
      <c r="AG36" s="657"/>
    </row>
    <row r="37" spans="1:33" ht="17.649999999999999" customHeight="1" x14ac:dyDescent="0.25">
      <c r="A37" s="444" t="s">
        <v>123</v>
      </c>
      <c r="B37" s="573">
        <v>26</v>
      </c>
      <c r="C37" s="573"/>
      <c r="D37" s="440"/>
      <c r="I37" s="780" t="str">
        <f>IF($B$7="Diplôme national","Excédent mobilisable"," ")</f>
        <v xml:space="preserve"> </v>
      </c>
      <c r="J37" s="776" t="str">
        <f>IF($B$7="diplôme national",'Excédent mobilisable prev'!I57," ")</f>
        <v xml:space="preserve"> </v>
      </c>
      <c r="K37" s="776" t="str">
        <f>IF($B$7="diplôme national",'Excédent mobilisable réel'!I57," ")</f>
        <v xml:space="preserve"> </v>
      </c>
      <c r="L37" s="657"/>
      <c r="M37" s="657"/>
      <c r="N37" s="657"/>
      <c r="O37" s="657"/>
      <c r="P37" s="657"/>
      <c r="Q37" s="657"/>
      <c r="R37" s="657"/>
      <c r="S37" s="657"/>
      <c r="T37" s="657"/>
      <c r="U37" s="657"/>
      <c r="V37" s="657"/>
      <c r="W37" s="657"/>
      <c r="X37" s="657"/>
      <c r="Y37" s="657"/>
      <c r="Z37" s="657"/>
      <c r="AA37" s="657"/>
      <c r="AB37" s="657"/>
      <c r="AC37" s="657"/>
      <c r="AD37" s="657"/>
      <c r="AE37" s="657"/>
      <c r="AF37" s="657"/>
      <c r="AG37" s="657"/>
    </row>
    <row r="38" spans="1:33" ht="17.649999999999999" hidden="1" customHeight="1" x14ac:dyDescent="0.25">
      <c r="A38" s="444" t="s">
        <v>124</v>
      </c>
      <c r="B38" s="683"/>
      <c r="C38" s="683"/>
      <c r="D38" s="445"/>
      <c r="I38" s="780"/>
      <c r="J38" s="776"/>
      <c r="K38" s="776"/>
      <c r="L38" s="657"/>
      <c r="M38" s="657"/>
      <c r="N38" s="657"/>
      <c r="O38" s="657"/>
      <c r="P38" s="657"/>
      <c r="Q38" s="657"/>
      <c r="R38" s="657"/>
      <c r="S38" s="657"/>
      <c r="T38" s="657"/>
      <c r="U38" s="657"/>
      <c r="V38" s="657"/>
      <c r="W38" s="657"/>
      <c r="X38" s="657"/>
      <c r="Y38" s="657"/>
      <c r="Z38" s="657"/>
      <c r="AA38" s="657"/>
      <c r="AB38" s="657"/>
      <c r="AC38" s="657"/>
      <c r="AD38" s="657"/>
      <c r="AE38" s="657"/>
      <c r="AF38" s="657"/>
      <c r="AG38" s="657"/>
    </row>
    <row r="39" spans="1:33" ht="17.25" customHeight="1" x14ac:dyDescent="0.25">
      <c r="I39" s="780"/>
      <c r="J39" s="776"/>
      <c r="K39" s="776"/>
      <c r="L39" s="657"/>
      <c r="M39" s="657"/>
      <c r="N39" s="657"/>
      <c r="O39" s="657"/>
      <c r="P39" s="657"/>
      <c r="Q39" s="657"/>
      <c r="R39" s="657"/>
      <c r="S39" s="657"/>
      <c r="T39" s="657"/>
      <c r="U39" s="657"/>
      <c r="V39" s="657"/>
      <c r="W39" s="657"/>
      <c r="X39" s="657"/>
      <c r="Y39" s="657"/>
      <c r="Z39" s="657"/>
      <c r="AA39" s="657"/>
      <c r="AB39" s="657"/>
      <c r="AC39" s="657"/>
      <c r="AD39" s="657"/>
      <c r="AE39" s="657"/>
      <c r="AF39" s="657"/>
      <c r="AG39" s="657"/>
    </row>
    <row r="40" spans="1:33" ht="24" customHeight="1" x14ac:dyDescent="0.3">
      <c r="A40" s="431" t="s">
        <v>125</v>
      </c>
      <c r="B40" s="432"/>
      <c r="C40" s="432"/>
      <c r="D40" s="432"/>
      <c r="E40" s="432"/>
      <c r="F40" s="432"/>
      <c r="G40" s="432"/>
      <c r="I40" s="656"/>
      <c r="J40" s="649"/>
      <c r="K40" s="649"/>
      <c r="L40" s="657"/>
      <c r="M40" s="657"/>
      <c r="N40" s="657"/>
      <c r="O40" s="657"/>
      <c r="P40" s="657"/>
      <c r="Q40" s="657"/>
      <c r="R40" s="657"/>
      <c r="S40" s="657"/>
      <c r="T40" s="657"/>
      <c r="U40" s="657"/>
      <c r="V40" s="657"/>
      <c r="W40" s="657"/>
      <c r="X40" s="657"/>
      <c r="Y40" s="657"/>
      <c r="Z40" s="657"/>
      <c r="AA40" s="657"/>
      <c r="AB40" s="657"/>
      <c r="AC40" s="657"/>
      <c r="AD40" s="657"/>
      <c r="AE40" s="657"/>
      <c r="AF40" s="657"/>
      <c r="AG40" s="657"/>
    </row>
    <row r="41" spans="1:33" ht="13" x14ac:dyDescent="0.25">
      <c r="A41" s="414" t="s">
        <v>126</v>
      </c>
      <c r="B41" s="439"/>
      <c r="C41" s="439"/>
      <c r="D41" s="439"/>
      <c r="E41" s="439"/>
      <c r="F41" s="439"/>
      <c r="G41" s="439"/>
      <c r="I41" s="656"/>
      <c r="J41" s="649"/>
      <c r="K41" s="649"/>
      <c r="L41" s="657"/>
      <c r="M41" s="657"/>
      <c r="N41" s="657"/>
      <c r="O41" s="657"/>
      <c r="P41" s="657"/>
      <c r="Q41" s="657"/>
      <c r="R41" s="657"/>
      <c r="S41" s="657"/>
      <c r="T41" s="657"/>
      <c r="U41" s="657"/>
      <c r="V41" s="657"/>
      <c r="W41" s="657"/>
      <c r="X41" s="657"/>
      <c r="Y41" s="657"/>
      <c r="Z41" s="657"/>
      <c r="AA41" s="657"/>
      <c r="AB41" s="657"/>
      <c r="AC41" s="657"/>
      <c r="AD41" s="657"/>
      <c r="AE41" s="657"/>
      <c r="AF41" s="657"/>
      <c r="AG41" s="657"/>
    </row>
    <row r="42" spans="1:33" ht="24" customHeight="1" x14ac:dyDescent="0.25">
      <c r="A42" s="423" t="s">
        <v>127</v>
      </c>
      <c r="B42" s="424" t="s">
        <v>128</v>
      </c>
      <c r="C42" s="424" t="s">
        <v>129</v>
      </c>
      <c r="D42" s="424" t="s">
        <v>130</v>
      </c>
      <c r="E42" s="424" t="s">
        <v>131</v>
      </c>
      <c r="F42" s="446" t="s">
        <v>132</v>
      </c>
      <c r="G42" s="446" t="s">
        <v>133</v>
      </c>
      <c r="I42" s="656"/>
      <c r="J42" s="649"/>
      <c r="K42" s="649"/>
      <c r="L42" s="657"/>
      <c r="M42" s="657"/>
      <c r="N42" s="657"/>
      <c r="O42" s="657"/>
      <c r="P42" s="657"/>
      <c r="Q42" s="657"/>
      <c r="R42" s="657"/>
      <c r="S42" s="657"/>
      <c r="T42" s="657"/>
      <c r="U42" s="657"/>
      <c r="V42" s="657"/>
      <c r="W42" s="657"/>
      <c r="X42" s="657"/>
      <c r="Y42" s="657"/>
      <c r="Z42" s="657"/>
      <c r="AA42" s="657"/>
      <c r="AB42" s="657"/>
      <c r="AC42" s="657"/>
      <c r="AD42" s="657"/>
      <c r="AE42" s="657"/>
      <c r="AF42" s="657"/>
      <c r="AG42" s="657"/>
    </row>
    <row r="43" spans="1:33" ht="15" customHeight="1" x14ac:dyDescent="0.25">
      <c r="A43" s="574" t="s">
        <v>320</v>
      </c>
      <c r="B43" s="447">
        <f>IFERROR(VLOOKUP(A43,Paramétrage!$R$13:$S$16,2,0),0)</f>
        <v>68000</v>
      </c>
      <c r="C43" s="572"/>
      <c r="D43" s="571">
        <v>0.01</v>
      </c>
      <c r="E43" s="571"/>
      <c r="F43" s="571"/>
      <c r="G43" s="571"/>
      <c r="I43" s="656"/>
      <c r="J43" s="649"/>
      <c r="K43" s="649"/>
      <c r="L43" s="657"/>
      <c r="M43" s="657"/>
      <c r="N43" s="657"/>
      <c r="O43" s="657"/>
      <c r="P43" s="657"/>
      <c r="Q43" s="657"/>
      <c r="R43" s="657"/>
      <c r="S43" s="657"/>
      <c r="T43" s="657"/>
      <c r="U43" s="657"/>
      <c r="V43" s="657"/>
      <c r="W43" s="657"/>
      <c r="X43" s="657"/>
      <c r="Y43" s="657"/>
      <c r="Z43" s="657"/>
      <c r="AA43" s="657"/>
      <c r="AB43" s="657"/>
      <c r="AC43" s="657"/>
      <c r="AD43" s="657"/>
      <c r="AE43" s="657"/>
      <c r="AF43" s="657"/>
      <c r="AG43" s="657"/>
    </row>
    <row r="44" spans="1:33" ht="15" customHeight="1" x14ac:dyDescent="0.25">
      <c r="A44" s="574" t="s">
        <v>338</v>
      </c>
      <c r="B44" s="447">
        <f>IFERROR(VLOOKUP(A44,Paramétrage!$R$13:$S$16,2,0),0)</f>
        <v>43500</v>
      </c>
      <c r="C44" s="572"/>
      <c r="D44" s="571">
        <v>8.5999999999999993E-2</v>
      </c>
      <c r="E44" s="571"/>
      <c r="F44" s="571"/>
      <c r="G44" s="571"/>
      <c r="I44" s="656"/>
      <c r="J44" s="649"/>
      <c r="K44" s="649"/>
      <c r="L44" s="657"/>
      <c r="M44" s="657"/>
      <c r="N44" s="657"/>
      <c r="O44" s="657"/>
      <c r="P44" s="657"/>
      <c r="Q44" s="657"/>
      <c r="R44" s="657"/>
      <c r="S44" s="657"/>
      <c r="T44" s="657"/>
      <c r="U44" s="657"/>
      <c r="V44" s="657"/>
      <c r="W44" s="657"/>
      <c r="X44" s="657"/>
      <c r="Y44" s="657"/>
      <c r="Z44" s="657"/>
      <c r="AA44" s="657"/>
      <c r="AB44" s="657"/>
      <c r="AC44" s="657"/>
      <c r="AD44" s="657"/>
      <c r="AE44" s="657"/>
      <c r="AF44" s="657"/>
      <c r="AG44" s="657"/>
    </row>
    <row r="45" spans="1:33" ht="15" customHeight="1" x14ac:dyDescent="0.25">
      <c r="A45" s="574"/>
      <c r="B45" s="447">
        <f>IFERROR(VLOOKUP(A45,Paramétrage!$R$13:$S$16,2,0),0)</f>
        <v>0</v>
      </c>
      <c r="C45" s="572"/>
      <c r="D45" s="571"/>
      <c r="E45" s="571"/>
      <c r="F45" s="571"/>
      <c r="G45" s="571"/>
      <c r="I45" s="656"/>
      <c r="J45" s="649"/>
      <c r="K45" s="649"/>
      <c r="L45" s="657"/>
      <c r="M45" s="657"/>
      <c r="N45" s="657"/>
      <c r="O45" s="657"/>
      <c r="P45" s="657"/>
      <c r="Q45" s="657"/>
      <c r="R45" s="657"/>
      <c r="S45" s="657"/>
      <c r="T45" s="657"/>
      <c r="U45" s="657"/>
      <c r="V45" s="657"/>
      <c r="W45" s="657"/>
      <c r="X45" s="657"/>
      <c r="Y45" s="657"/>
      <c r="Z45" s="657"/>
      <c r="AA45" s="657"/>
      <c r="AB45" s="657"/>
      <c r="AC45" s="657"/>
      <c r="AD45" s="657"/>
      <c r="AE45" s="657"/>
      <c r="AF45" s="657"/>
      <c r="AG45" s="657"/>
    </row>
    <row r="46" spans="1:33" ht="15" customHeight="1" x14ac:dyDescent="0.25">
      <c r="A46" s="574"/>
      <c r="B46" s="447">
        <f>IFERROR(VLOOKUP(A46,Paramétrage!$R$13:$S$16,2,0),0)</f>
        <v>0</v>
      </c>
      <c r="C46" s="572"/>
      <c r="D46" s="571"/>
      <c r="E46" s="571"/>
      <c r="F46" s="571"/>
      <c r="G46" s="571"/>
      <c r="I46" s="656"/>
      <c r="J46" s="649"/>
      <c r="K46" s="649"/>
      <c r="L46" s="657"/>
      <c r="M46" s="657"/>
      <c r="N46" s="657"/>
      <c r="O46" s="657"/>
      <c r="P46" s="657"/>
      <c r="Q46" s="657"/>
      <c r="R46" s="657"/>
      <c r="S46" s="657"/>
      <c r="T46" s="657"/>
      <c r="U46" s="657"/>
      <c r="V46" s="657"/>
      <c r="W46" s="657"/>
      <c r="X46" s="657"/>
      <c r="Y46" s="657"/>
      <c r="Z46" s="657"/>
      <c r="AA46" s="657"/>
      <c r="AB46" s="657"/>
      <c r="AC46" s="657"/>
      <c r="AD46" s="657"/>
      <c r="AE46" s="657"/>
      <c r="AF46" s="657"/>
      <c r="AG46" s="657"/>
    </row>
    <row r="47" spans="1:33" ht="13" x14ac:dyDescent="0.25">
      <c r="A47" s="574"/>
      <c r="B47" s="447">
        <f>IFERROR(VLOOKUP(A47,Paramétrage!$R$13:$S$16,2,0),0)</f>
        <v>0</v>
      </c>
      <c r="C47" s="572"/>
      <c r="D47" s="571"/>
      <c r="E47" s="571"/>
      <c r="F47" s="571"/>
      <c r="G47" s="571"/>
      <c r="I47" s="657"/>
      <c r="J47" s="657"/>
      <c r="K47" s="657"/>
      <c r="L47" s="657"/>
      <c r="M47" s="657"/>
      <c r="N47" s="657"/>
      <c r="O47" s="657"/>
      <c r="P47" s="657"/>
      <c r="Q47" s="657"/>
      <c r="R47" s="657"/>
      <c r="S47" s="657"/>
      <c r="T47" s="657"/>
      <c r="U47" s="657"/>
      <c r="V47" s="657"/>
      <c r="W47" s="657"/>
      <c r="X47" s="657"/>
      <c r="Y47" s="657"/>
      <c r="Z47" s="657"/>
      <c r="AA47" s="657"/>
      <c r="AB47" s="657"/>
      <c r="AC47" s="657"/>
      <c r="AD47" s="657"/>
      <c r="AE47" s="657"/>
      <c r="AF47" s="657"/>
      <c r="AG47" s="657"/>
    </row>
    <row r="48" spans="1:33" ht="13" x14ac:dyDescent="0.25">
      <c r="A48" s="437"/>
      <c r="B48" s="438"/>
      <c r="C48" s="438"/>
      <c r="D48" s="438"/>
      <c r="E48" s="438"/>
      <c r="F48" s="438"/>
      <c r="G48" s="438"/>
      <c r="I48" s="656"/>
      <c r="J48" s="649"/>
      <c r="K48" s="649"/>
      <c r="L48" s="657"/>
      <c r="M48" s="657"/>
      <c r="N48" s="657"/>
      <c r="O48" s="657"/>
      <c r="P48" s="657"/>
      <c r="Q48" s="657"/>
      <c r="R48" s="657"/>
      <c r="S48" s="657"/>
      <c r="T48" s="657"/>
      <c r="U48" s="657"/>
      <c r="V48" s="657"/>
      <c r="W48" s="657"/>
      <c r="X48" s="657"/>
      <c r="Y48" s="657"/>
      <c r="Z48" s="657"/>
      <c r="AA48" s="657"/>
      <c r="AB48" s="657"/>
      <c r="AC48" s="657"/>
      <c r="AD48" s="657"/>
      <c r="AE48" s="657"/>
      <c r="AF48" s="657"/>
      <c r="AG48" s="657"/>
    </row>
    <row r="49" spans="1:33" ht="16.5" customHeight="1" x14ac:dyDescent="0.25">
      <c r="I49" s="657"/>
      <c r="J49" s="658"/>
      <c r="K49" s="657"/>
      <c r="L49" s="657"/>
      <c r="M49" s="657"/>
      <c r="N49" s="657"/>
      <c r="O49" s="657"/>
      <c r="P49" s="657"/>
      <c r="Q49" s="657"/>
      <c r="R49" s="657"/>
      <c r="S49" s="657"/>
      <c r="T49" s="657"/>
      <c r="U49" s="657"/>
      <c r="V49" s="657"/>
      <c r="W49" s="657"/>
      <c r="X49" s="657"/>
      <c r="Y49" s="657"/>
      <c r="Z49" s="657"/>
      <c r="AA49" s="657"/>
      <c r="AB49" s="657"/>
      <c r="AC49" s="657"/>
      <c r="AD49" s="657"/>
      <c r="AE49" s="657"/>
      <c r="AF49" s="657"/>
      <c r="AG49" s="657"/>
    </row>
    <row r="50" spans="1:33" ht="24" customHeight="1" x14ac:dyDescent="0.3">
      <c r="A50" s="431" t="s">
        <v>125</v>
      </c>
      <c r="B50" s="432"/>
      <c r="C50" s="432"/>
      <c r="D50" s="432"/>
      <c r="I50" s="779"/>
      <c r="J50" s="778"/>
      <c r="K50" s="778"/>
      <c r="L50" s="657"/>
      <c r="M50" s="657"/>
      <c r="N50" s="657"/>
      <c r="O50" s="657"/>
      <c r="P50" s="657"/>
      <c r="Q50" s="657"/>
      <c r="R50" s="657"/>
      <c r="S50" s="657"/>
      <c r="T50" s="657"/>
      <c r="U50" s="657"/>
      <c r="V50" s="657"/>
      <c r="W50" s="657"/>
      <c r="X50" s="657"/>
      <c r="Y50" s="657"/>
      <c r="Z50" s="657"/>
      <c r="AA50" s="657"/>
      <c r="AB50" s="657"/>
      <c r="AC50" s="657"/>
      <c r="AD50" s="657"/>
      <c r="AE50" s="657"/>
      <c r="AF50" s="657"/>
      <c r="AG50" s="657"/>
    </row>
    <row r="51" spans="1:33" ht="20.25" customHeight="1" x14ac:dyDescent="0.25">
      <c r="A51" s="771" t="s">
        <v>134</v>
      </c>
      <c r="B51" s="772"/>
      <c r="C51" s="772"/>
      <c r="D51" s="773"/>
      <c r="I51" s="779"/>
      <c r="J51" s="778"/>
      <c r="K51" s="778"/>
    </row>
    <row r="52" spans="1:33" ht="15" customHeight="1" x14ac:dyDescent="0.25">
      <c r="A52" s="783" t="s">
        <v>135</v>
      </c>
      <c r="B52" s="784"/>
      <c r="C52" s="424" t="s">
        <v>72</v>
      </c>
      <c r="D52" s="424" t="s">
        <v>73</v>
      </c>
      <c r="I52" s="657"/>
      <c r="J52" s="657"/>
      <c r="K52" s="657"/>
    </row>
    <row r="53" spans="1:33" ht="15" customHeight="1" x14ac:dyDescent="0.25">
      <c r="A53" s="785" t="s">
        <v>136</v>
      </c>
      <c r="B53" s="786"/>
      <c r="C53" s="572">
        <v>200</v>
      </c>
      <c r="D53" s="572"/>
    </row>
    <row r="54" spans="1:33" ht="15" customHeight="1" x14ac:dyDescent="0.25">
      <c r="A54" s="785" t="s">
        <v>137</v>
      </c>
      <c r="B54" s="786"/>
      <c r="C54" s="572"/>
      <c r="D54" s="572"/>
    </row>
    <row r="55" spans="1:33" ht="15" customHeight="1" x14ac:dyDescent="0.25">
      <c r="A55" s="785" t="s">
        <v>138</v>
      </c>
      <c r="B55" s="786"/>
      <c r="C55" s="572"/>
      <c r="D55" s="572"/>
    </row>
    <row r="56" spans="1:33" ht="15" customHeight="1" x14ac:dyDescent="0.25">
      <c r="A56" s="785" t="s">
        <v>139</v>
      </c>
      <c r="B56" s="786"/>
      <c r="C56" s="572"/>
      <c r="D56" s="572"/>
    </row>
    <row r="57" spans="1:33" ht="15" customHeight="1" x14ac:dyDescent="0.25">
      <c r="A57" s="785" t="s">
        <v>140</v>
      </c>
      <c r="B57" s="786"/>
      <c r="C57" s="572"/>
      <c r="D57" s="572"/>
    </row>
    <row r="58" spans="1:33" ht="15" customHeight="1" x14ac:dyDescent="0.25">
      <c r="A58" s="785" t="s">
        <v>141</v>
      </c>
      <c r="B58" s="786"/>
      <c r="C58" s="572"/>
      <c r="D58" s="572"/>
    </row>
    <row r="59" spans="1:33" ht="15" customHeight="1" x14ac:dyDescent="0.25">
      <c r="A59" s="785" t="s">
        <v>142</v>
      </c>
      <c r="B59" s="786"/>
      <c r="C59" s="572"/>
      <c r="D59" s="572"/>
    </row>
    <row r="60" spans="1:33" ht="15" customHeight="1" x14ac:dyDescent="0.25">
      <c r="A60" s="785" t="s">
        <v>143</v>
      </c>
      <c r="B60" s="786"/>
      <c r="C60" s="572">
        <v>50</v>
      </c>
      <c r="D60" s="572"/>
    </row>
    <row r="61" spans="1:33" ht="15" customHeight="1" x14ac:dyDescent="0.25">
      <c r="A61" s="787" t="s">
        <v>144</v>
      </c>
      <c r="B61" s="788"/>
      <c r="C61" s="572"/>
      <c r="D61" s="572"/>
    </row>
    <row r="62" spans="1:33" ht="21" customHeight="1" x14ac:dyDescent="0.25">
      <c r="A62" s="781" t="s">
        <v>145</v>
      </c>
      <c r="B62" s="782"/>
      <c r="C62" s="635">
        <f>SUM(C53:C61)</f>
        <v>250</v>
      </c>
      <c r="D62" s="635">
        <f>SUM(D53:D61)</f>
        <v>0</v>
      </c>
    </row>
    <row r="63" spans="1:33" ht="13" x14ac:dyDescent="0.25">
      <c r="A63" s="438"/>
      <c r="B63" s="438"/>
      <c r="C63" s="438"/>
      <c r="D63" s="438"/>
    </row>
  </sheetData>
  <sheetProtection algorithmName="SHA-512" hashValue="sXC0+kJUvK/YWw3ke5ccr/uqHdMvf5Kndmlmp20ZdmZbUvOd6dult31e1m7uIsZgUXwrSUpqjwyDfTN4PnAhfg==" saltValue="N7Ef28wUTG29qwTSjmnCuw==" spinCount="100000" sheet="1" objects="1" scenarios="1"/>
  <dataConsolidate/>
  <mergeCells count="46">
    <mergeCell ref="K7:K8"/>
    <mergeCell ref="J12:J13"/>
    <mergeCell ref="K12:K13"/>
    <mergeCell ref="J9:J10"/>
    <mergeCell ref="K9:K10"/>
    <mergeCell ref="D7:D8"/>
    <mergeCell ref="I7:I8"/>
    <mergeCell ref="E7:E8"/>
    <mergeCell ref="F7:F8"/>
    <mergeCell ref="J31:J32"/>
    <mergeCell ref="I12:I13"/>
    <mergeCell ref="J7:J8"/>
    <mergeCell ref="I9:I10"/>
    <mergeCell ref="D13:D14"/>
    <mergeCell ref="E13:E14"/>
    <mergeCell ref="F13:F14"/>
    <mergeCell ref="A22:A26"/>
    <mergeCell ref="I31:I32"/>
    <mergeCell ref="F15:F16"/>
    <mergeCell ref="A27:A31"/>
    <mergeCell ref="E27:E31"/>
    <mergeCell ref="E22:E26"/>
    <mergeCell ref="D15:D16"/>
    <mergeCell ref="E15:E16"/>
    <mergeCell ref="A62:B62"/>
    <mergeCell ref="A52:B52"/>
    <mergeCell ref="A58:B58"/>
    <mergeCell ref="A61:B61"/>
    <mergeCell ref="A59:B59"/>
    <mergeCell ref="A60:B60"/>
    <mergeCell ref="A54:B54"/>
    <mergeCell ref="A53:B53"/>
    <mergeCell ref="A57:B57"/>
    <mergeCell ref="A55:B55"/>
    <mergeCell ref="A56:B56"/>
    <mergeCell ref="A51:D51"/>
    <mergeCell ref="I34:I35"/>
    <mergeCell ref="K37:K39"/>
    <mergeCell ref="K31:K32"/>
    <mergeCell ref="K50:K51"/>
    <mergeCell ref="K34:K35"/>
    <mergeCell ref="J34:J35"/>
    <mergeCell ref="I50:I51"/>
    <mergeCell ref="J50:J51"/>
    <mergeCell ref="I37:I39"/>
    <mergeCell ref="J37:J39"/>
  </mergeCells>
  <conditionalFormatting sqref="J34 J26:K27">
    <cfRule type="cellIs" dxfId="41" priority="37" operator="greaterThan">
      <formula>0</formula>
    </cfRule>
  </conditionalFormatting>
  <conditionalFormatting sqref="C26 C31">
    <cfRule type="expression" dxfId="40" priority="26" stopIfTrue="1">
      <formula>IF(AND($B$10="oui",$B$7="Externe"),TRUE,FALSE)</formula>
    </cfRule>
  </conditionalFormatting>
  <conditionalFormatting sqref="B10">
    <cfRule type="expression" dxfId="39" priority="25" stopIfTrue="1">
      <formula>IF(OR(AND($B$10="non",$B$8="CFA Externe"),AND($B$10="oui",$B$7="formation non accréditée")),TRUE,FALSE)</formula>
    </cfRule>
  </conditionalFormatting>
  <conditionalFormatting sqref="J34 J26:K27">
    <cfRule type="cellIs" dxfId="38" priority="36" operator="lessThan">
      <formula>0</formula>
    </cfRule>
  </conditionalFormatting>
  <conditionalFormatting sqref="J50:K50 J45:K46">
    <cfRule type="cellIs" dxfId="37" priority="17" operator="greaterThan">
      <formula>0</formula>
    </cfRule>
  </conditionalFormatting>
  <conditionalFormatting sqref="J50:K50 J45:K46">
    <cfRule type="cellIs" dxfId="36" priority="16" operator="lessThan">
      <formula>0</formula>
    </cfRule>
  </conditionalFormatting>
  <conditionalFormatting sqref="B16">
    <cfRule type="expression" dxfId="35" priority="15">
      <formula>IF($B$7="diplôme national",TRUE,FALSE)</formula>
    </cfRule>
  </conditionalFormatting>
  <conditionalFormatting sqref="B12">
    <cfRule type="expression" dxfId="34" priority="10">
      <formula>IF($B$7="simulation nouvelle formation",TRUE,FALSE)</formula>
    </cfRule>
  </conditionalFormatting>
  <conditionalFormatting sqref="C22:C23 C27:C28">
    <cfRule type="expression" dxfId="33" priority="9">
      <formula>IF($B$7="formation non accréditée",TRUE,FALSE)</formula>
    </cfRule>
  </conditionalFormatting>
  <conditionalFormatting sqref="C23 C28">
    <cfRule type="expression" dxfId="32" priority="8">
      <formula>IF(AND($B$8="CFA Lyon 2",$B$10="non"),TRUE,FALSE)</formula>
    </cfRule>
  </conditionalFormatting>
  <conditionalFormatting sqref="C22 C27">
    <cfRule type="expression" dxfId="31" priority="7">
      <formula>IF(OR($B$8="CFA externe",$B$8="SCFC"),TRUE,FALSE)</formula>
    </cfRule>
  </conditionalFormatting>
  <conditionalFormatting sqref="K34">
    <cfRule type="cellIs" dxfId="30" priority="6" operator="greaterThan">
      <formula>0</formula>
    </cfRule>
  </conditionalFormatting>
  <conditionalFormatting sqref="K34">
    <cfRule type="cellIs" dxfId="29" priority="5" operator="lessThan">
      <formula>0</formula>
    </cfRule>
  </conditionalFormatting>
  <conditionalFormatting sqref="J37">
    <cfRule type="cellIs" dxfId="28" priority="4" operator="greaterThan">
      <formula>0</formula>
    </cfRule>
  </conditionalFormatting>
  <conditionalFormatting sqref="J37">
    <cfRule type="cellIs" dxfId="27" priority="3" operator="lessThan">
      <formula>0</formula>
    </cfRule>
  </conditionalFormatting>
  <conditionalFormatting sqref="K37">
    <cfRule type="cellIs" dxfId="26" priority="2" operator="greaterThan">
      <formula>0</formula>
    </cfRule>
  </conditionalFormatting>
  <conditionalFormatting sqref="K37">
    <cfRule type="cellIs" dxfId="25" priority="1" operator="lessThan">
      <formula>0</formula>
    </cfRule>
  </conditionalFormatting>
  <dataValidations count="5">
    <dataValidation type="list" allowBlank="1" showInputMessage="1" showErrorMessage="1" sqref="B10" xr:uid="{169FA932-7411-4CC2-ABBC-F52FB133C391}">
      <formula1>"oui,non"</formula1>
    </dataValidation>
    <dataValidation allowBlank="1" showInputMessage="1" showErrorMessage="1" sqref="B23:B31" xr:uid="{9597E8FC-A0F6-4E8C-967B-7DE941F3B16A}"/>
    <dataValidation type="list" allowBlank="1" showInputMessage="1" showErrorMessage="1" sqref="B7" xr:uid="{CF4B723A-21F2-4A6F-98B7-EAB057F6D6A6}">
      <formula1>"diplôme national,formation non accréditée,simulation nouvelle formation"</formula1>
    </dataValidation>
    <dataValidation type="list" allowBlank="1" showInputMessage="1" showErrorMessage="1" sqref="B12" xr:uid="{AEE1432F-8BCA-46B8-B972-B4A54C8CB053}">
      <formula1>INDIRECT(CONCATENATE($B$9,$B$11))</formula1>
    </dataValidation>
    <dataValidation type="list" allowBlank="1" showInputMessage="1" showErrorMessage="1" sqref="B11" xr:uid="{D8A5851B-0B81-47B1-B3F0-9CCE3A855B30}">
      <formula1>composante</formula1>
    </dataValidation>
  </dataValidations>
  <pageMargins left="0.31496062992125984" right="0.31496062992125984" top="0.35433070866141736" bottom="0.35433070866141736" header="0.31496062992125984" footer="0.31496062992125984"/>
  <pageSetup paperSize="9" scale="51" orientation="landscape" r:id="rId1"/>
  <legacyDrawing r:id="rId2"/>
  <extLst>
    <ext xmlns:x14="http://schemas.microsoft.com/office/spreadsheetml/2009/9/main" uri="{CCE6A557-97BC-4b89-ADB6-D9C93CAAB3DF}">
      <x14:dataValidations xmlns:xm="http://schemas.microsoft.com/office/excel/2006/main" count="7">
        <x14:dataValidation type="list" allowBlank="1" showInputMessage="1" showErrorMessage="1" xr:uid="{93059307-B936-4921-B922-4AF3BECB9C6E}">
          <x14:formula1>
            <xm:f>IF($B$7&lt;&gt;"diplôme national",Paramétrage!$L$18:$L$19,Paramétrage!$L$17)</xm:f>
          </x14:formula1>
          <xm:sqref>B16</xm:sqref>
        </x14:dataValidation>
        <x14:dataValidation type="list" allowBlank="1" showInputMessage="1" showErrorMessage="1" xr:uid="{06AB429F-BF3D-4F10-958B-FC741B9C1496}">
          <x14:formula1>
            <xm:f>Paramétrage!$R$13:$R$16</xm:f>
          </x14:formula1>
          <xm:sqref>A43:A47</xm:sqref>
        </x14:dataValidation>
        <x14:dataValidation type="list" allowBlank="1" showInputMessage="1" showErrorMessage="1" xr:uid="{7714B1F1-EC83-467D-8F7A-15548CE101F9}">
          <x14:formula1>
            <xm:f>Paramétrage!$O$16:$O$25</xm:f>
          </x14:formula1>
          <xm:sqref>B2</xm:sqref>
        </x14:dataValidation>
        <x14:dataValidation type="list" allowBlank="1" showInputMessage="1" showErrorMessage="1" xr:uid="{9A020C33-7567-4621-89F1-B98239DF2FAE}">
          <x14:formula1>
            <xm:f>IF($B$7="diplôme national",Paramétrage!$J$28:$J$30,IF($B$7="simulation nouvelle formation",Paramétrage!$J$28:$J$31,Paramétrage!$J$30:$J$31))</xm:f>
          </x14:formula1>
          <xm:sqref>B8</xm:sqref>
        </x14:dataValidation>
        <x14:dataValidation type="list" allowBlank="1" showInputMessage="1" showErrorMessage="1" xr:uid="{C9667BC4-47D4-4C0A-8E64-C9B63B6E94D0}">
          <x14:formula1>
            <xm:f>IF($B$7="diplôme national",Paramétrage!$J$36:$J$39,IF($B$7="simulation nouvelle formation",Paramétrage!$J$36:$J$42,Paramétrage!$J$40:$J$42))</xm:f>
          </x14:formula1>
          <xm:sqref>B9</xm:sqref>
        </x14:dataValidation>
        <x14:dataValidation type="list" allowBlank="1" showInputMessage="1" showErrorMessage="1" xr:uid="{363B425F-1C4C-440D-9B90-2E8AA9D4D77D}">
          <x14:formula1>
            <xm:f>Paramétrage!$L$6:$L$12</xm:f>
          </x14:formula1>
          <xm:sqref>B13</xm:sqref>
        </x14:dataValidation>
        <x14:dataValidation type="list" allowBlank="1" showInputMessage="1" showErrorMessage="1" xr:uid="{79B1B94E-9000-483A-A22B-8F5049D44603}">
          <x14:formula1>
            <xm:f>Paramétrage!$R$6:$R$11</xm:f>
          </x14:formula1>
          <xm:sqref>A48 A32</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3" tint="0.79998168889431442"/>
  </sheetPr>
  <dimension ref="A1:AN134"/>
  <sheetViews>
    <sheetView zoomScale="74" zoomScaleNormal="70" workbookViewId="0">
      <pane xSplit="6" ySplit="8" topLeftCell="T9" activePane="bottomRight" state="frozen"/>
      <selection pane="topRight" activeCell="D1" sqref="D1"/>
      <selection pane="bottomLeft" activeCell="A7" sqref="A7"/>
      <selection pane="bottomRight" activeCell="N17" sqref="N17"/>
    </sheetView>
  </sheetViews>
  <sheetFormatPr baseColWidth="10" defaultColWidth="11.453125" defaultRowHeight="15.5" outlineLevelCol="1" x14ac:dyDescent="0.25"/>
  <cols>
    <col min="1" max="1" width="11.453125" style="448"/>
    <col min="2" max="4" width="11.453125" style="448" customWidth="1"/>
    <col min="5" max="5" width="8.7265625" style="448" customWidth="1"/>
    <col min="6" max="6" width="50" style="449" customWidth="1"/>
    <col min="7" max="7" width="13.453125" style="449" customWidth="1"/>
    <col min="8" max="8" width="13" style="449" customWidth="1"/>
    <col min="9" max="9" width="9.26953125" style="449" customWidth="1"/>
    <col min="10" max="11" width="10" style="449" customWidth="1"/>
    <col min="12" max="14" width="11.453125" style="449" customWidth="1"/>
    <col min="15" max="15" width="14.54296875" style="449" customWidth="1"/>
    <col min="16" max="16" width="13.81640625" style="450" bestFit="1" customWidth="1"/>
    <col min="17" max="17" width="14.7265625" style="449" customWidth="1"/>
    <col min="18" max="18" width="13.1796875" style="449" bestFit="1" customWidth="1"/>
    <col min="19" max="20" width="12.26953125" style="449" customWidth="1"/>
    <col min="21" max="21" width="13.1796875" style="449" customWidth="1"/>
    <col min="22" max="33" width="12.26953125" style="449" customWidth="1"/>
    <col min="34" max="35" width="12.26953125" style="449" hidden="1" customWidth="1"/>
    <col min="36" max="36" width="34.1796875" style="449" hidden="1" customWidth="1"/>
    <col min="37" max="37" width="10.7265625" style="449" hidden="1" customWidth="1" outlineLevel="1"/>
    <col min="38" max="38" width="11.26953125" style="449" hidden="1" customWidth="1" outlineLevel="1"/>
    <col min="39" max="39" width="10.7265625" style="449" hidden="1" customWidth="1" outlineLevel="1"/>
    <col min="40" max="40" width="11.453125" style="449" collapsed="1"/>
    <col min="41" max="16384" width="11.453125" style="449"/>
  </cols>
  <sheetData>
    <row r="1" spans="1:39" ht="6" customHeight="1" x14ac:dyDescent="0.25"/>
    <row r="2" spans="1:39" ht="31" x14ac:dyDescent="0.25">
      <c r="A2" s="733" t="s">
        <v>146</v>
      </c>
      <c r="B2" s="449"/>
      <c r="C2" s="449"/>
      <c r="D2" s="449"/>
      <c r="K2" s="451" t="s">
        <v>147</v>
      </c>
      <c r="L2" s="452" t="s">
        <v>148</v>
      </c>
      <c r="M2" s="453" t="s">
        <v>149</v>
      </c>
      <c r="N2" s="452" t="s">
        <v>150</v>
      </c>
      <c r="O2" s="452" t="s">
        <v>151</v>
      </c>
    </row>
    <row r="3" spans="1:39" ht="21" customHeight="1" x14ac:dyDescent="0.25">
      <c r="A3" s="625" t="s">
        <v>64</v>
      </c>
      <c r="B3" s="449"/>
      <c r="D3" s="449"/>
      <c r="J3" s="454" t="s">
        <v>152</v>
      </c>
      <c r="K3" s="455">
        <f>SUM(L3:O3)</f>
        <v>0</v>
      </c>
      <c r="L3" s="456">
        <f>SUMIFS($AL$9:$AL$131,$J$9:$J$131,Paramétrage!$D$6,Enseignement!$G$9:$G$131,"FI")+SUMIFS($AL$9:$AL$131,$J$9:$J$131,Paramétrage!$D$7,Enseignement!$G$9:$G$131,"FI")+SUMIFS($AL$9:$AL$131,$J$9:$J$131,Paramétrage!$D$8,Enseignement!$G$9:$G$131,"FI")+SUMIFS($AL$9:$AL$131,$J$9:$J$131,Paramétrage!$D$6,Enseignement!$G$9:$G$131,"FI/ALT")+SUMIFS($AL$9:$AL$131,$J$9:$J$131,Paramétrage!$D$7,Enseignement!$G$9:$G$131,"FI/ALT")+SUMIFS($AL$9:$AL$131,$J$9:$J$131,Paramétrage!$D$8,Enseignement!$G$9:$G$131,"FI/ALT")+SUMIFS($AL$9:$AL$131,$J$9:$J$131,Paramétrage!$D$6,Enseignement!$G$9:$G$131,"FI/FC")+SUMIFS($AL$9:$AL$131,$J$9:$J$131,Paramétrage!$D$7,Enseignement!$G$9:$G$131,"FI/FC")+SUMIFS($AL$9:$AL$131,$J$9:$J$131,Paramétrage!$D$8,Enseignement!$G$9:$G$131,"FI/FC")+SUMIFS($AL$9:$AL$131,$J$9:$J$131,Paramétrage!$D$6,Enseignement!$G$9:$G$131,"FI/FC/ALT")+SUMIFS($AL$9:$AL$131,$J$9:$J$131,Paramétrage!$D$7,Enseignement!$G$9:$G$131,"FI/FC/ALT")+SUMIFS($AL$9:$AL$131,$J$9:$J$131,Paramétrage!$D$8,Enseignement!$G$9:$G$131,"FI/FC/ALT")+SUMIFS($AL$9:$AL$131,$J$9:$J$131,Paramétrage!$D$10,Enseignement!$G$9:$G$131,"FI")+SUMIFS($AL$9:$AL$131,$J$9:$J$131,Paramétrage!$D$11,Enseignement!$G$9:$G$131,"FI")+SUMIFS($AL$9:$AL$131,$J$9:$J$131,Paramétrage!$D$13,Enseignement!$G$9:$G$131,"FI")+SUMIFS($AL$9:$AL$131,$J$9:$J$131,Paramétrage!$D$10,Enseignement!$G$9:$G$131,"FI/ALT")+SUMIFS($AL$9:$AL$131,$J$9:$J$131,Paramétrage!$D$11,Enseignement!$G$9:$G$131,"FI/ALT")+SUMIFS($AL$9:$AL$131,$J$9:$J$131,Paramétrage!$D$13,Enseignement!$G$9:$G$131,"FI/ALT")+SUMIFS($AL$9:$AL$131,$J$9:$J$131,Paramétrage!$D$10,Enseignement!$G$9:$G$131,"FI/FC")+SUMIFS($AL$9:$AL$131,$J$9:$J$131,Paramétrage!$D$11,Enseignement!$G$9:$G$131,"FI/FC")+SUMIFS($AL$9:$AL$131,$J$9:$J$131,Paramétrage!$D$13,Enseignement!$G$9:$G$131,"FI/FC")+SUMIFS($AL$9:$AL$131,$J$9:$J$131,Paramétrage!$D$10,Enseignement!$G$9:$G$131,"FI/FC/ALT")+SUMIFS($AL$9:$AL$131,$J$9:$J$131,Paramétrage!$D$11,Enseignement!$G$9:$G$131,"FI/FC/ALT")+SUMIFS($AL$9:$AL$131,$J$9:$J$131,Paramétrage!$D$13,Enseignement!$G$9:$G$131,"FI/FC/ALT")+SUMIFS($AL$9:$AL$131,$J$9:$J$131,Paramétrage!$D$14,Enseignement!$G$9:$G$131,"FI")+SUMIFS($AL$9:$AL$131,$J$9:$J$131,Paramétrage!$D$16,Enseignement!$G$9:$G$131,"FI")+SUMIFS($AL$9:$AL$131,$J$9:$J$131,Paramétrage!$D$17,Enseignement!$G$9:$G$131,"FI")+SUMIFS($AL$9:$AL$131,$J$9:$J$131,Paramétrage!$D$14,Enseignement!$G$9:$G$131,"FI/ALT")+SUMIFS($AL$9:$AL$131,$J$9:$J$131,Paramétrage!$D$16,Enseignement!$G$9:$G$131,"FI/ALT")+SUMIFS($AL$9:$AL$131,$J$9:$J$131,Paramétrage!$D$17,Enseignement!$G$9:$G$131,"FI/ALT")+SUMIFS($AL$9:$AL$131,$J$9:$J$131,Paramétrage!$D$14,Enseignement!$G$9:$G$131,"FI/FC")+SUMIFS($AL$9:$AL$131,$J$9:$J$131,Paramétrage!$D$16,Enseignement!$G$9:$G$131,"FI/FC")+SUMIFS($AL$9:$AL$131,$J$9:$J$131,Paramétrage!$D$17,Enseignement!$G$9:$G$131,"FI/FC")+SUMIFS($AL$9:$AL$131,$J$9:$J$131,Paramétrage!$D$14,Enseignement!$G$9:$G$131,"FI/FC/ALT")+SUMIFS($AL$9:$AL$131,$J$9:$J$131,Paramétrage!$D$16,Enseignement!$G$9:$G$131,"FI/FC/ALT")+SUMIFS($AL$9:$AL$131,$J$9:$J$131,Paramétrage!$D$17,Enseignement!$G$9:$G$131,"FI/FC/ALT")+SUMIFS($AL$9:$AL$131,$J$9:$J$131,Paramétrage!$D$19,Enseignement!$G$9:$G$131,"FI")+SUMIFS($AL$9:$AL$131,$J$9:$J$131,Paramétrage!$D$20,Enseignement!$G$9:$G$131,"FI")+SUMIFS($AL$9:$AL$131,$J$9:$J$131,Paramétrage!$D$23,Enseignement!$G$9:$G$131,"FI")+SUMIFS($AL$9:$AL$131,$J$9:$J$131,Paramétrage!$D$19,Enseignement!$G$9:$G$131,"FI/ALT")+SUMIFS($AL$9:$AL$131,$J$9:$J$131,Paramétrage!$D$20,Enseignement!$G$9:$G$131,"FI/ALT")+SUMIFS($AL$9:$AL$131,$J$9:$J$131,Paramétrage!$D$23,Enseignement!$G$9:$G$131,"FI/ALT")+SUMIFS($AL$9:$AL$131,$J$9:$J$131,Paramétrage!$D$19,Enseignement!$G$9:$G$131,"FI/FC")+SUMIFS($AL$9:$AL$131,$J$9:$J$131,Paramétrage!$D$20,Enseignement!$G$9:$G$131,"FI/FC")+SUMIFS($AL$9:$AL$131,$J$9:$J$131,Paramétrage!$D$23,Enseignement!$G$9:$G$131,"FI/FC")+SUMIFS($AL$9:$AL$131,$J$9:$J$131,Paramétrage!$D$19,Enseignement!$G$9:$G$131,"FI/FC/ALT")+SUMIFS($AL$9:$AL$131,$J$9:$J$131,Paramétrage!$D$20,Enseignement!$G$9:$G$131,"FI/FC/ALT")+SUMIFS($AL$9:$AL$131,$J$9:$J$131,Paramétrage!$D$23,Enseignement!$G$9:$G$131,"FI/FC/ALT")+SUMIFS($AL$9:$AL$131,$J$9:$J$131,Paramétrage!$D$24,Enseignement!$G$9:$G$131,"FI")+SUMIFS($AL$9:$AL$131,$J$9:$J$131,Paramétrage!$D$26,Enseignement!$G$9:$G$131,"FI")+SUMIFS($AL$9:$AL$131,$J$9:$J$131,Paramétrage!$D$27,Enseignement!$G$9:$G$131,"FI")+SUMIFS($AL$9:$AL$131,$J$9:$J$131,Paramétrage!$D$24,Enseignement!$G$9:$G$131,"FI/ALT")+SUMIFS($AL$9:$AL$131,$J$9:$J$131,Paramétrage!$D$26,Enseignement!$G$9:$G$131,"FI/ALT")+SUMIFS($AL$9:$AL$131,$J$9:$J$131,Paramétrage!$D$27,Enseignement!$G$9:$G$131,"FI/ALT")+SUMIFS($AL$9:$AL$131,$J$9:$J$131,Paramétrage!$D$24,Enseignement!$G$9:$G$131,"FI/FC")+SUMIFS($AL$9:$AL$131,$J$9:$J$131,Paramétrage!$D$26,Enseignement!$G$9:$G$131,"FI/FC")+SUMIFS($AL$9:$AL$131,$J$9:$J$131,Paramétrage!$D$27,Enseignement!$G$9:$G$131,"FI/FC")+SUMIFS($AL$9:$AL$131,$J$9:$J$131,Paramétrage!$D$24,Enseignement!$G$9:$G$131,"FI/FC/ALT")+SUMIFS($AL$9:$AL$131,$J$9:$J$131,Paramétrage!$D$26,Enseignement!$G$9:$G$131,"FI/FC/ALT")+SUMIFS($AL$9:$AL$131,$J$9:$J$131,Paramétrage!$D$27,Enseignement!$G$9:$G$131,"FI/FC/ALT")</f>
        <v>0</v>
      </c>
      <c r="M3" s="456">
        <f>SUMIFS($AL$9:$AL$131,$J$9:$J$131,Paramétrage!$D$9,Enseignement!$G$9:$G$131,"FI")+SUMIFS($AL$9:$AL$131,$J$9:$J$131,Paramétrage!$D$9,Enseignement!$G$9:$G$131,"FI/FC")+SUMIFS($AL$9:$AL$131,$J$9:$J$131,Paramétrage!$D$9,Enseignement!$G$9:$G$131,"FI/ALT")+SUMIFS($AL$9:$AL$131,$J$9:$J$131,Paramétrage!$D$9,Enseignement!$G$9:$G$131,"FI/FC/ALT")</f>
        <v>0</v>
      </c>
      <c r="N3" s="456">
        <f>SUMIFS($AL$9:$AL$131,$J$9:$J$131,Paramétrage!$D$15,Enseignement!$G$9:$G$131,"FI")+SUMIFS($AL$9:$AL$131,$J$9:$J$131,Paramétrage!$D$15,Enseignement!$G$9:$G$131,"FI/FC")+SUMIFS($AL$9:$AL$131,$J$9:$J$131,Paramétrage!$D$15,Enseignement!$G$9:$G$131,"FI/ALT")+SUMIFS($AL$9:$AL$131,$J$9:$J$131,Paramétrage!$D$15,Enseignement!$G$9:$G$131,"FI/FC/ALT")</f>
        <v>0</v>
      </c>
      <c r="O3" s="456">
        <f>SUMIFS($AL$9:$AL$131,$J$9:$J$131,Paramétrage!$D$18,Enseignement!$G$9:$G$131,"FI")+SUMIFS($AL$9:$AL$131,$J$9:$J$131,Paramétrage!$D$18,Enseignement!$G$9:$G$131,"FI/FC")+SUMIFS($AL$9:$AL$131,$J$9:$J$131,Paramétrage!$D$18,Enseignement!$G$9:$G$131,"FI/ALT")+SUMIFS($AL$9:$AL$131,$J$9:$J$131,Paramétrage!$D$18,Enseignement!$G$9:$G$131,"FI/FC/ALT")+SUMIFS($AL$9:$AL$131,$J$9:$J$131,Paramétrage!$D$21,Enseignement!$G$9:$G$131,"FI")+SUMIFS($AL$9:$AL$131,$J$9:$J$131,Paramétrage!$D$21,Enseignement!$G$9:$G$131,"FI/FC")+SUMIFS($AL$9:$AL$131,$J$9:$J$131,Paramétrage!$D$21,Enseignement!$G$9:$G$131,"FI/ALT")+SUMIFS($AL$9:$AL$131,$J$9:$J$131,Paramétrage!$D$21,Enseignement!$G$9:$G$131,"FI/FC/ALT")+SUMIFS($AL$9:$AL$131,$J$9:$J$131,Paramétrage!$D$25,Enseignement!$G$9:$G$131,"FI")+SUMIFS($AL$9:$AL$131,$J$9:$J$131,Paramétrage!$D$25,Enseignement!$G$9:$G$131,"FI/FC")+SUMIFS($AL$9:$AL$131,$J$9:$J$131,Paramétrage!$D$25,Enseignement!$G$9:$G$131,"FI/ALT")+SUMIFS($AL$9:$AL$131,$J$9:$J$131,Paramétrage!$D$25,Enseignement!$G$9:$G$131,"FI/FC/ALT")+SUMIFS($AL$9:$AL$131,$J$9:$J$131,Paramétrage!$D$22,Enseignement!$G$9:$G$131,"FI")+SUMIFS($AL$9:$AL$131,$J$9:$J$131,Paramétrage!$D$22,Enseignement!$G$9:$G$131,"FI/FC")+SUMIFS($AL$9:$AL$131,$J$9:$J$131,Paramétrage!$D$22,Enseignement!$G$9:$G$131,"FI/ALT")+SUMIFS($AL$9:$AL$131,$J$9:$J$131,Paramétrage!$D$22,Enseignement!$G$9:$G$131,"FI/FC/ALT")</f>
        <v>0</v>
      </c>
    </row>
    <row r="4" spans="1:39" ht="21" customHeight="1" x14ac:dyDescent="0.25">
      <c r="A4" s="624" t="s">
        <v>63</v>
      </c>
      <c r="B4" s="449"/>
      <c r="C4" s="449"/>
      <c r="D4" s="449"/>
      <c r="J4" s="454" t="s">
        <v>153</v>
      </c>
      <c r="K4" s="455">
        <f>SUM(L4:O4)</f>
        <v>120</v>
      </c>
      <c r="L4" s="456">
        <f>SUMIFS($AL$9:$AL$131,$J$9:$J$131,Paramétrage!$D$6,Enseignement!$G$9:$G$131,"FC")+SUMIFS($AL$9:$AL$131,$J$9:$J$131,Paramétrage!$D$7,Enseignement!$G$9:$G$131,"FC")+SUMIFS($AL$9:$AL$131,$J$9:$J$131,Paramétrage!$D$8,Enseignement!$G$9:$G$131,"FC")+SUMIFS($AL$9:$AL$131,$J$9:$J$131,Paramétrage!$D$6,Enseignement!$G$9:$G$131,"FC/ALT")+SUMIFS($AL$9:$AL$131,$J$9:$J$131,Paramétrage!$D$7,Enseignement!$G$9:$G$131,"FC/ALT")+SUMIFS($AL$9:$AL$131,$J$9:$J$131,Paramétrage!$D$8,Enseignement!$G$9:$G$131,"FC/ALT")+SUMIFS($AL$9:$AL$131,$J$9:$J$131,Paramétrage!$D$6,Enseignement!$G$9:$G$131,"FI/FC")+SUMIFS($AL$9:$AL$131,$J$9:$J$131,Paramétrage!$D$7,Enseignement!$G$9:$G$131,"FI/FC")+SUMIFS($AL$9:$AL$131,$J$9:$J$131,Paramétrage!$D$8,Enseignement!$G$9:$G$131,"FI/FC")+SUMIFS($AL$9:$AL$131,$J$9:$J$131,Paramétrage!$D$6,Enseignement!$G$9:$G$131,"FI/FC/ALT")+SUMIFS($AL$9:$AL$131,$J$9:$J$131,Paramétrage!$D$7,Enseignement!$G$9:$G$131,"FI/FC/ALT")+SUMIFS($AL$9:$AL$131,$J$9:$J$131,Paramétrage!$D$8,Enseignement!$G$9:$G$131,"FI/FC/ALT")+SUMIFS($AL$9:$AL$131,$J$9:$J$131,Paramétrage!$D$10,Enseignement!$G$9:$G$131,"FC")+SUMIFS($AL$9:$AL$131,$J$9:$J$131,Paramétrage!$D$11,Enseignement!$G$9:$G$131,"FC")+SUMIFS($AL$9:$AL$131,$J$9:$J$131,Paramétrage!$D$13,Enseignement!$G$9:$G$131,"FC")+SUMIFS($AL$9:$AL$131,$J$9:$J$131,Paramétrage!$D$10,Enseignement!$G$9:$G$131,"FC/ALT")+SUMIFS($AL$9:$AL$131,$J$9:$J$131,Paramétrage!$D$11,Enseignement!$G$9:$G$131,"FC/ALT")+SUMIFS($AL$9:$AL$131,$J$9:$J$131,Paramétrage!$D$13,Enseignement!$G$9:$G$131,"FC/ALT")+SUMIFS($AL$9:$AL$131,$J$9:$J$131,Paramétrage!$D$10,Enseignement!$G$9:$G$131,"FI/FC")+SUMIFS($AL$9:$AL$131,$J$9:$J$131,Paramétrage!$D$11,Enseignement!$G$9:$G$131,"FI/FC")+SUMIFS($AL$9:$AL$131,$J$9:$J$131,Paramétrage!$D$13,Enseignement!$G$9:$G$131,"FI/FC")+SUMIFS($AL$9:$AL$131,$J$9:$J$131,Paramétrage!$D$10,Enseignement!$G$9:$G$131,"FI/FC/ALT")+SUMIFS($AL$9:$AL$131,$J$9:$J$131,Paramétrage!$D$11,Enseignement!$G$9:$G$131,"FI/FC/ALT")+SUMIFS($AL$9:$AL$131,$J$9:$J$131,Paramétrage!$D$13,Enseignement!$G$9:$G$131,"FI/FC/ALT")+SUMIFS($AL$9:$AL$131,$J$9:$J$131,Paramétrage!$D$14,Enseignement!$G$9:$G$131,"FC")+SUMIFS($AL$9:$AL$131,$J$9:$J$131,Paramétrage!$D$16,Enseignement!$G$9:$G$131,"FC")+SUMIFS($AL$9:$AL$131,$J$9:$J$131,Paramétrage!$D$17,Enseignement!$G$9:$G$131,"FC")+SUMIFS($AL$9:$AL$131,$J$9:$J$131,Paramétrage!$D$14,Enseignement!$G$9:$G$131,"FC/ALT")+SUMIFS($AL$9:$AL$131,$J$9:$J$131,Paramétrage!$D$16,Enseignement!$G$9:$G$131,"FC/ALT")+SUMIFS($AL$9:$AL$131,$J$9:$J$131,Paramétrage!$D$17,Enseignement!$G$9:$G$131,"FC/ALT")+SUMIFS($AL$9:$AL$131,$J$9:$J$131,Paramétrage!$D$14,Enseignement!$G$9:$G$131,"FI/FC")+SUMIFS($AL$9:$AL$131,$J$9:$J$131,Paramétrage!$D$16,Enseignement!$G$9:$G$131,"FI/FC")+SUMIFS($AL$9:$AL$131,$J$9:$J$131,Paramétrage!$D$17,Enseignement!$G$9:$G$131,"FI/FC")+SUMIFS($AL$9:$AL$131,$J$9:$J$131,Paramétrage!$D$14,Enseignement!$G$9:$G$131,"FI/FC/ALT")+SUMIFS($AL$9:$AL$131,$J$9:$J$131,Paramétrage!$D$16,Enseignement!$G$9:$G$131,"FI/FC/ALT")+SUMIFS($AL$9:$AL$131,$J$9:$J$131,Paramétrage!$D$17,Enseignement!$G$9:$G$131,"FI/FC/ALT")+SUMIFS($AL$9:$AL$131,$J$9:$J$131,Paramétrage!$D$19,Enseignement!$G$9:$G$131,"FC")+SUMIFS($AL$9:$AL$131,$J$9:$J$131,Paramétrage!$D$20,Enseignement!$G$9:$G$131,"FC")+SUMIFS($AL$9:$AL$131,$J$9:$J$131,Paramétrage!$D$23,Enseignement!$G$9:$G$131,"FC")+SUMIFS($AL$9:$AL$131,$J$9:$J$131,Paramétrage!$D$19,Enseignement!$G$9:$G$131,"FC/ALT")+SUMIFS($AL$9:$AL$131,$J$9:$J$131,Paramétrage!$D$20,Enseignement!$G$9:$G$131,"FC/ALT")+SUMIFS($AL$9:$AL$131,$J$9:$J$131,Paramétrage!$D$23,Enseignement!$G$9:$G$131,"FC/ALT")+SUMIFS($AL$9:$AL$131,$J$9:$J$131,Paramétrage!$D$19,Enseignement!$G$9:$G$131,"FI/FC")+SUMIFS($AL$9:$AL$131,$J$9:$J$131,Paramétrage!$D$20,Enseignement!$G$9:$G$131,"FI/FC")+SUMIFS($AL$9:$AL$131,$J$9:$J$131,Paramétrage!$D$23,Enseignement!$G$9:$G$131,"FI/FC")+SUMIFS($AL$9:$AL$131,$J$9:$J$131,Paramétrage!$D$19,Enseignement!$G$9:$G$131,"FI/FC/ALT")+SUMIFS($AL$9:$AL$131,$J$9:$J$131,Paramétrage!$D$20,Enseignement!$G$9:$G$131,"FI/FC/ALT")+SUMIFS($AL$9:$AL$131,$J$9:$J$131,Paramétrage!$D$23,Enseignement!$G$9:$G$131,"FI/FC/ALT")+SUMIFS($AL$9:$AL$131,$J$9:$J$131,Paramétrage!$D$24,Enseignement!$G$9:$G$131,"FC")+SUMIFS($AL$9:$AL$131,$J$9:$J$131,Paramétrage!$D$26,Enseignement!$G$9:$G$131,"FC")+SUMIFS($AL$9:$AL$131,$J$9:$J$131,Paramétrage!$D$27,Enseignement!$G$9:$G$131,"FC")+SUMIFS($AL$9:$AL$131,$J$9:$J$131,Paramétrage!$D$24,Enseignement!$G$9:$G$131,"FC/ALT")+SUMIFS($AL$9:$AL$131,$J$9:$J$131,Paramétrage!$D$26,Enseignement!$G$9:$G$131,"FC/ALT")+SUMIFS($AL$9:$AL$131,$J$9:$J$131,Paramétrage!$D$27,Enseignement!$G$9:$G$131,"FC/ALT")+SUMIFS($AL$9:$AL$131,$J$9:$J$131,Paramétrage!$D$24,Enseignement!$G$9:$G$131,"FI/FC")+SUMIFS($AL$9:$AL$131,$J$9:$J$131,Paramétrage!$D$26,Enseignement!$G$9:$G$131,"FI/FC")+SUMIFS($AL$9:$AL$131,$J$9:$J$131,Paramétrage!$D$27,Enseignement!$G$9:$G$131,"FI/FC")+SUMIFS($AL$9:$AL$131,$J$9:$J$131,Paramétrage!$D$24,Enseignement!$G$9:$G$131,"FI/FC/ALT")+SUMIFS($AL$9:$AL$131,$J$9:$J$131,Paramétrage!$D$26,Enseignement!$G$9:$G$131,"FI/FC/ALT")+SUMIFS($AL$9:$AL$131,$J$9:$J$131,Paramétrage!$D$27,Enseignement!$G$9:$G$131,"FI/FC/ALT")</f>
        <v>120</v>
      </c>
      <c r="M4" s="457">
        <f>SUMIFS($AL$9:$AL$131,$J$9:$J$131,Paramétrage!$D$9,Enseignement!$G$9:$G$131,"FC")+SUMIFS($AL$9:$AL$131,$J$9:$J$131,Paramétrage!$D$9,Enseignement!$G$9:$G$131,"FI/FC")+SUMIFS($AL$9:$AL$131,$J$9:$J$131,Paramétrage!$D$9,Enseignement!$G$9:$G$131,"FC/ALT")+SUMIFS($AL$9:$AL$131,$J$9:$J$131,Paramétrage!$D$9,Enseignement!$G$9:$G$131,"FI/FC/ALT")</f>
        <v>0</v>
      </c>
      <c r="N4" s="456">
        <f>SUMIFS($AL$9:$AL$131,$J$9:$J$131,Paramétrage!$D$15,Enseignement!$G$9:$G$131,"FC")+SUMIFS($AL$9:$AL$131,$J$9:$J$131,Paramétrage!$D$15,Enseignement!$G$9:$G$131,"FI/FC")+SUMIFS($AL$9:$AL$131,$J$9:$J$131,Paramétrage!$D$15,Enseignement!$G$9:$G$131,"FC/ALT")+SUMIFS($AL$9:$AL$131,$J$9:$J$131,Paramétrage!$D$15,Enseignement!$G$9:$G$131,"FI/FC/ALT")</f>
        <v>0</v>
      </c>
      <c r="O4" s="456">
        <f>SUMIFS($AL$9:$AL$131,$J$9:$J$131,Paramétrage!$D$18,Enseignement!$G$9:$G$131,"FC")+SUMIFS($AL$9:$AL$131,$J$9:$J$131,Paramétrage!$D$18,Enseignement!$G$9:$G$131,"FI/FC")+SUMIFS($AL$9:$AL$131,$J$9:$J$131,Paramétrage!$D$18,Enseignement!$G$9:$G$131,"FC/ALT")+SUMIFS($AL$9:$AL$131,$J$9:$J$131,Paramétrage!$D$18,Enseignement!$G$9:$G$131,"FI/FC/ALT")+SUMIFS($AL$9:$AL$131,$J$9:$J$131,Paramétrage!$D$21,Enseignement!$G$9:$G$131,"FC")+SUMIFS($AL$9:$AL$131,$J$9:$J$131,Paramétrage!$D$21,Enseignement!$G$9:$G$131,"FI/FC")+SUMIFS($AL$9:$AL$131,$J$9:$J$131,Paramétrage!$D$21,Enseignement!$G$9:$G$131,"FC/ALT")+SUMIFS($AL$9:$AL$131,$J$9:$J$131,Paramétrage!$D$21,Enseignement!$G$9:$G$131,"FI/FC/ALT")+SUMIFS($AL$9:$AL$131,$J$9:$J$131,Paramétrage!$D$25,Enseignement!$G$9:$G$131,"FC")+SUMIFS($AL$9:$AL$131,$J$9:$J$131,Paramétrage!$D$25,Enseignement!$G$9:$G$131,"FI/FC")+SUMIFS($AL$9:$AL$131,$J$9:$J$131,Paramétrage!$D$25,Enseignement!$G$9:$G$131,"FC/ALT")+SUMIFS($AL$9:$AL$131,$J$9:$J$131,Paramétrage!$D$25,Enseignement!$G$9:$G$131,"FI/FC/ALT")+SUMIFS($AL$9:$AL$131,$J$9:$J$131,Paramétrage!$D$22,Enseignement!$G$9:$G$131,"FC")+SUMIFS($AL$9:$AL$131,$J$9:$J$131,Paramétrage!$D$22,Enseignement!$G$9:$G$131,"FI/FC")+SUMIFS($AL$9:$AL$131,$J$9:$J$131,Paramétrage!$D$22,Enseignement!$G$9:$G$131,"FC/ALT")+SUMIFS($AL$9:$AL$131,$J$9:$J$131,Paramétrage!$D$22,Enseignement!$G$9:$G$131,"FI/FC/ALT")</f>
        <v>0</v>
      </c>
    </row>
    <row r="5" spans="1:39" ht="21" customHeight="1" x14ac:dyDescent="0.25">
      <c r="B5" s="449"/>
      <c r="C5" s="449"/>
      <c r="D5" s="449"/>
      <c r="J5" s="454" t="s">
        <v>154</v>
      </c>
      <c r="K5" s="455">
        <f>SUM(L5:O5)</f>
        <v>0</v>
      </c>
      <c r="L5" s="456">
        <f>SUMIFS($AL$9:$AL$131,$J$9:$J$131,Paramétrage!$D$6,Enseignement!$G$9:$G$131,"ALT")+SUMIFS($AL$9:$AL$131,$J$9:$J$131,Paramétrage!$D$7,Enseignement!$G$9:$G$131,"ALT")+SUMIFS($AL$9:$AL$131,$J$9:$J$131,Paramétrage!$D$8,Enseignement!$G$9:$G$131,"ALT")+SUMIFS($AL$9:$AL$131,$J$9:$J$131,Paramétrage!$D$6,Enseignement!$G$9:$G$131,"FI/ALT")+SUMIFS($AL$9:$AL$131,$J$9:$J$131,Paramétrage!$D$7,Enseignement!$G$9:$G$131,"FI/ALT")+SUMIFS($AL$9:$AL$131,$J$9:$J$131,Paramétrage!$D$8,Enseignement!$G$9:$G$131,"FI/ALT")+SUMIFS($AL$9:$AL$131,$J$9:$J$131,Paramétrage!$D$6,Enseignement!$G$9:$G$131,"FC/ALT")+SUMIFS($AL$9:$AL$131,$J$9:$J$131,Paramétrage!$D$7,Enseignement!$G$9:$G$131,"FC/ALT")+SUMIFS($AL$9:$AL$131,$J$9:$J$131,Paramétrage!$D$8,Enseignement!$G$9:$G$131,"FC/ALT")+SUMIFS($AL$9:$AL$131,$J$9:$J$131,Paramétrage!$D$6,Enseignement!$G$9:$G$131,"FI/FC/ALT")+SUMIFS($AL$9:$AL$131,$J$9:$J$131,Paramétrage!$D$7,Enseignement!$G$9:$G$131,"FI/FC/ALT")+SUMIFS($AL$9:$AL$131,$J$9:$J$131,Paramétrage!$D$8,Enseignement!$G$9:$G$131,"FI/FC/ALT")+SUMIFS($AL$9:$AL$131,$J$9:$J$131,Paramétrage!$D$10,Enseignement!$G$9:$G$131,"ALT")+SUMIFS($AL$9:$AL$131,$J$9:$J$131,Paramétrage!$D$11,Enseignement!$G$9:$G$131,"ALT")+SUMIFS($AL$9:$AL$131,$J$9:$J$131,Paramétrage!$D$13,Enseignement!$G$9:$G$131,"ALT")+SUMIFS($AL$9:$AL$131,$J$9:$J$131,Paramétrage!$D$10,Enseignement!$G$9:$G$131,"FI/ALT")+SUMIFS($AL$9:$AL$131,$J$9:$J$131,Paramétrage!$D$11,Enseignement!$G$9:$G$131,"FI/ALT")+SUMIFS($AL$9:$AL$131,$J$9:$J$131,Paramétrage!$D$13,Enseignement!$G$9:$G$131,"FI/ALT")+SUMIFS($AL$9:$AL$131,$J$9:$J$131,Paramétrage!$D$10,Enseignement!$G$9:$G$131,"FC/ALT")+SUMIFS($AL$9:$AL$131,$J$9:$J$131,Paramétrage!$D$11,Enseignement!$G$9:$G$131,"FC/ALT")+SUMIFS($AL$9:$AL$131,$J$9:$J$131,Paramétrage!$D$13,Enseignement!$G$9:$G$131,"FC/ALT")+SUMIFS($AL$9:$AL$131,$J$9:$J$131,Paramétrage!$D$10,Enseignement!$G$9:$G$131,"FI/FC/ALT")+SUMIFS($AL$9:$AL$131,$J$9:$J$131,Paramétrage!$D$11,Enseignement!$G$9:$G$131,"FI/FC/ALT")+SUMIFS($AL$9:$AL$131,$J$9:$J$131,Paramétrage!$D$13,Enseignement!$G$9:$G$131,"FI/FC/ALT")+SUMIFS($AL$9:$AL$131,$J$9:$J$131,Paramétrage!$D$14,Enseignement!$G$9:$G$131,"ALT")+SUMIFS($AL$9:$AL$131,$J$9:$J$131,Paramétrage!$D$16,Enseignement!$G$9:$G$131,"ALT")+SUMIFS($AL$9:$AL$131,$J$9:$J$131,Paramétrage!$D$17,Enseignement!$G$9:$G$131,"ALT")+SUMIFS($AL$9:$AL$131,$J$9:$J$131,Paramétrage!$D$14,Enseignement!$G$9:$G$131,"FI/ALT")+SUMIFS($AL$9:$AL$131,$J$9:$J$131,Paramétrage!$D$16,Enseignement!$G$9:$G$131,"FI/ALT")+SUMIFS($AL$9:$AL$131,$J$9:$J$131,Paramétrage!$D$17,Enseignement!$G$9:$G$131,"FI/ALT")+SUMIFS($AL$9:$AL$131,$J$9:$J$131,Paramétrage!$D$14,Enseignement!$G$9:$G$131,"FC/ALT")+SUMIFS($AL$9:$AL$131,$J$9:$J$131,Paramétrage!$D$16,Enseignement!$G$9:$G$131,"FC/ALT")+SUMIFS($AL$9:$AL$131,$J$9:$J$131,Paramétrage!$D$17,Enseignement!$G$9:$G$131,"FC/ALT")+SUMIFS($AL$9:$AL$131,$J$9:$J$131,Paramétrage!$D$14,Enseignement!$G$9:$G$131,"FI/FC/ALT")+SUMIFS($AL$9:$AL$131,$J$9:$J$131,Paramétrage!$D$16,Enseignement!$G$9:$G$131,"FI/FC/ALT")+SUMIFS($AL$9:$AL$131,$J$9:$J$131,Paramétrage!$D$17,Enseignement!$G$9:$G$131,"FI/FC/ALT")+SUMIFS($AL$9:$AL$131,$J$9:$J$131,Paramétrage!$D$19,Enseignement!$G$9:$G$131,"ALT")+SUMIFS($AL$9:$AL$131,$J$9:$J$131,Paramétrage!$D$20,Enseignement!$G$9:$G$131,"ALT")+SUMIFS($AL$9:$AL$131,$J$9:$J$131,Paramétrage!$D$23,Enseignement!$G$9:$G$131,"ALT")+SUMIFS($AL$9:$AL$131,$J$9:$J$131,Paramétrage!$D$19,Enseignement!$G$9:$G$131,"FI/ALT")+SUMIFS($AL$9:$AL$131,$J$9:$J$131,Paramétrage!$D$20,Enseignement!$G$9:$G$131,"FI/ALT")+SUMIFS($AL$9:$AL$131,$J$9:$J$131,Paramétrage!$D$23,Enseignement!$G$9:$G$131,"FI/ALT")+SUMIFS($AL$9:$AL$131,$J$9:$J$131,Paramétrage!$D$19,Enseignement!$G$9:$G$131,"FC/ALT")+SUMIFS($AL$9:$AL$131,$J$9:$J$131,Paramétrage!$D$20,Enseignement!$G$9:$G$131,"FC/ALT")+SUMIFS($AL$9:$AL$131,$J$9:$J$131,Paramétrage!$D$23,Enseignement!$G$9:$G$131,"FC/ALT")+SUMIFS($AL$9:$AL$131,$J$9:$J$131,Paramétrage!$D$19,Enseignement!$G$9:$G$131,"FI/FC/ALT")+SUMIFS($AL$9:$AL$131,$J$9:$J$131,Paramétrage!$D$20,Enseignement!$G$9:$G$131,"FI/FC/ALT")+SUMIFS($AL$9:$AL$131,$J$9:$J$131,Paramétrage!$D$23,Enseignement!$G$9:$G$131,"FI/FC/ALT")+SUMIFS($AL$9:$AL$131,$J$9:$J$131,Paramétrage!$D$24,Enseignement!$G$9:$G$131,"ALT")+SUMIFS($AL$9:$AL$131,$J$9:$J$131,Paramétrage!$D$26,Enseignement!$G$9:$G$131,"ALT")+SUMIFS($AL$9:$AL$131,$J$9:$J$131,Paramétrage!$D$27,Enseignement!$G$9:$G$131,"ALT")+SUMIFS($AL$9:$AL$131,$J$9:$J$131,Paramétrage!$D$24,Enseignement!$G$9:$G$131,"FI/ALT")+SUMIFS($AL$9:$AL$131,$J$9:$J$131,Paramétrage!$D$26,Enseignement!$G$9:$G$131,"FI/ALT")+SUMIFS($AL$9:$AL$131,$J$9:$J$131,Paramétrage!$D$27,Enseignement!$G$9:$G$131,"FI/ALT")+SUMIFS($AL$9:$AL$131,$J$9:$J$131,Paramétrage!$D$24,Enseignement!$G$9:$G$131,"FC/ALT")+SUMIFS($AL$9:$AL$131,$J$9:$J$131,Paramétrage!$D$26,Enseignement!$G$9:$G$131,"FC/ALT")+SUMIFS($AL$9:$AL$131,$J$9:$J$131,Paramétrage!$D$27,Enseignement!$G$9:$G$131,"FC/ALT")+SUMIFS($AL$9:$AL$131,$J$9:$J$131,Paramétrage!$D$24,Enseignement!$G$9:$G$131,"FI/FC/ALT")+SUMIFS($AL$9:$AL$131,$J$9:$J$131,Paramétrage!$D$26,Enseignement!$G$9:$G$131,"FI/FC/ALT")+SUMIFS($AL$9:$AL$131,$J$9:$J$131,Paramétrage!$D$27,Enseignement!$G$9:$G$131,"FI/FC/ALT")</f>
        <v>0</v>
      </c>
      <c r="M5" s="457">
        <f>SUMIFS($AL$9:$AL$131,$J$9:$J$131,Paramétrage!$D$9,Enseignement!$G$9:$G$131,"ALT")+SUMIFS($AL$9:$AL$131,$J$9:$J$131,Paramétrage!$D$9,Enseignement!$G$9:$G$131,"FI/ALT")+SUMIFS($AL$9:$AL$131,$J$9:$J$131,Paramétrage!$D$9,Enseignement!$G$9:$G$131,"FC/ALT")+SUMIFS($AL$9:$AL$131,$J$9:$J$131,Paramétrage!$D$9,Enseignement!$G$9:$G$131,"FI/FC/ALT")+SUMIFS($AL$9:$AL$131,$J$9:$J$131,Paramétrage!$D$12,Enseignement!$G$9:$G$131,"ALT")+SUMIFS($AL$9:$AL$131,$J$9:$J$131,Paramétrage!$D$12,Enseignement!$G$9:$G$131,"FI/ALT")+SUMIFS($AL$9:$AL$131,$J$9:$J$131,Paramétrage!$D$12,Enseignement!$G$9:$G$131,"FC/ALT")+SUMIFS($AL$9:$AL$131,$J$9:$J$131,Paramétrage!$D$12,Enseignement!$G$9:$G$131,"FI/FC/ALT")</f>
        <v>0</v>
      </c>
      <c r="N5" s="456">
        <f>SUMIFS($AL$9:$AL$131,$J$9:$J$131,Paramétrage!$D$15,Enseignement!$G$9:$G$131,"ALT")+SUMIFS($AL$9:$AL$131,$J$9:$J$131,Paramétrage!$D$15,Enseignement!$G$9:$G$131,"FI/ALT")+SUMIFS($AL$9:$AL$131,$J$9:$J$131,Paramétrage!$D$15,Enseignement!$G$9:$G$131,"FC/ALT")+SUMIFS($AL$9:$AL$131,$J$9:$J$131,Paramétrage!$D$15,Enseignement!$G$9:$G$131,"FI/FC/ALT")</f>
        <v>0</v>
      </c>
      <c r="O5" s="456">
        <f>SUMIFS($AL$9:$AL$131,$J$9:$J$131,Paramétrage!$D$18,Enseignement!$G$9:$G$131,"ALT")+SUMIFS($AL$9:$AL$131,$J$9:$J$131,Paramétrage!$D$18,Enseignement!$G$9:$G$131,"FI/ALT")+SUMIFS($AL$9:$AL$131,$J$9:$J$131,Paramétrage!$D$18,Enseignement!$G$9:$G$131,"FC/ALT")+SUMIFS($AL$9:$AL$131,$J$9:$J$131,Paramétrage!$D$18,Enseignement!$G$9:$G$131,"FI/FC/ALT")+SUMIFS($AL$9:$AL$131,$J$9:$J$131,Paramétrage!$D$21,Enseignement!$G$9:$G$131,"ALT")+SUMIFS($AL$9:$AL$131,$J$9:$J$131,Paramétrage!$D$21,Enseignement!$G$9:$G$131,"FI/ALT")+SUMIFS($AL$9:$AL$131,$J$9:$J$131,Paramétrage!$D$21,Enseignement!$G$9:$G$131,"FC/ALT")+SUMIFS($AL$9:$AL$131,$J$9:$J$131,Paramétrage!$D$21,Enseignement!$G$9:$G$131,"FI/FC/ALT")+SUMIFS($AL$9:$AL$131,$J$9:$J$131,Paramétrage!$D$25,Enseignement!$G$9:$G$131,"ALT")+SUMIFS($AL$9:$AL$131,$J$9:$J$131,Paramétrage!$D$25,Enseignement!$G$9:$G$131,"FI/ALT")+SUMIFS($AL$9:$AL$131,$J$9:$J$131,Paramétrage!$D$25,Enseignement!$G$9:$G$131,"FC/ALT")+SUMIFS($AL$9:$AL$131,$J$9:$J$131,Paramétrage!$D$25,Enseignement!$G$9:$G$131,"FI/FC/ALT")++SUMIFS($AL$9:$AL$131,$J$9:$J$131,Paramétrage!$D$22,Enseignement!$G$9:$G$131,"ALT")+SUMIFS($AL$9:$AL$131,$J$9:$J$131,Paramétrage!$D$22,Enseignement!$G$9:$G$131,"FI/ALT")+SUMIFS($AL$9:$AL$131,$J$9:$J$131,Paramétrage!$D$22,Enseignement!$G$9:$G$131,"FC/ALT")+SUMIFS($AL$9:$AL$131,$J$9:$J$131,Paramétrage!$D$22,Enseignement!$G$9:$G$131,"FI/FC/ALT")</f>
        <v>0</v>
      </c>
      <c r="Z5" s="46"/>
    </row>
    <row r="6" spans="1:39" ht="27.75" customHeight="1" thickBot="1" x14ac:dyDescent="0.3">
      <c r="A6" s="449"/>
      <c r="B6" s="449"/>
      <c r="C6" s="449"/>
      <c r="D6" s="449"/>
      <c r="E6" s="449"/>
      <c r="K6" s="458">
        <f>SUM(K3:K5)/(IF(K3&lt;&gt;0,1,0)+IF(K4&lt;&gt;0,1,0)+IF(K5&lt;&gt;0,1,0))</f>
        <v>120</v>
      </c>
      <c r="R6" s="809" t="s">
        <v>72</v>
      </c>
      <c r="S6" s="810"/>
      <c r="T6" s="811"/>
      <c r="U6" s="812" t="s">
        <v>74</v>
      </c>
      <c r="V6" s="813"/>
      <c r="W6" s="814"/>
      <c r="X6" s="830" t="s">
        <v>72</v>
      </c>
      <c r="Y6" s="831"/>
      <c r="Z6" s="831"/>
      <c r="AA6" s="831"/>
      <c r="AB6" s="832"/>
      <c r="AC6" s="833" t="s">
        <v>74</v>
      </c>
      <c r="AD6" s="834"/>
      <c r="AE6" s="834"/>
      <c r="AF6" s="834"/>
      <c r="AG6" s="835"/>
    </row>
    <row r="7" spans="1:39" ht="46.5" x14ac:dyDescent="0.35">
      <c r="A7" s="459"/>
      <c r="B7" s="828" t="s">
        <v>155</v>
      </c>
      <c r="C7" s="836" t="s">
        <v>156</v>
      </c>
      <c r="D7" s="838" t="s">
        <v>157</v>
      </c>
      <c r="E7" s="840" t="s">
        <v>158</v>
      </c>
      <c r="F7" s="844" t="s">
        <v>159</v>
      </c>
      <c r="G7" s="844" t="s">
        <v>160</v>
      </c>
      <c r="H7" s="838" t="s">
        <v>161</v>
      </c>
      <c r="I7" s="844" t="s">
        <v>162</v>
      </c>
      <c r="J7" s="836" t="s">
        <v>163</v>
      </c>
      <c r="K7" s="836" t="s">
        <v>164</v>
      </c>
      <c r="L7" s="838" t="s">
        <v>165</v>
      </c>
      <c r="M7" s="846" t="s">
        <v>166</v>
      </c>
      <c r="N7" s="842" t="s">
        <v>167</v>
      </c>
      <c r="O7" s="826" t="s">
        <v>168</v>
      </c>
      <c r="P7" s="819" t="s">
        <v>169</v>
      </c>
      <c r="Q7" s="713" t="s">
        <v>170</v>
      </c>
      <c r="R7" s="718" t="s">
        <v>171</v>
      </c>
      <c r="S7" s="460" t="s">
        <v>172</v>
      </c>
      <c r="T7" s="460" t="s">
        <v>173</v>
      </c>
      <c r="U7" s="461" t="s">
        <v>174</v>
      </c>
      <c r="V7" s="462" t="s">
        <v>175</v>
      </c>
      <c r="W7" s="462" t="s">
        <v>176</v>
      </c>
      <c r="X7" s="630" t="s">
        <v>177</v>
      </c>
      <c r="Y7" s="631" t="s">
        <v>178</v>
      </c>
      <c r="Z7" s="631" t="s">
        <v>179</v>
      </c>
      <c r="AA7" s="631" t="s">
        <v>180</v>
      </c>
      <c r="AB7" s="731" t="s">
        <v>181</v>
      </c>
      <c r="AC7" s="629" t="s">
        <v>182</v>
      </c>
      <c r="AD7" s="629" t="s">
        <v>183</v>
      </c>
      <c r="AE7" s="629" t="s">
        <v>184</v>
      </c>
      <c r="AF7" s="629" t="s">
        <v>185</v>
      </c>
      <c r="AG7" s="732" t="s">
        <v>186</v>
      </c>
      <c r="AH7" s="828" t="s">
        <v>187</v>
      </c>
      <c r="AI7" s="819"/>
      <c r="AJ7" s="826"/>
      <c r="AK7" s="826" t="s">
        <v>188</v>
      </c>
      <c r="AL7" s="821" t="s">
        <v>189</v>
      </c>
      <c r="AM7" s="826" t="s">
        <v>190</v>
      </c>
    </row>
    <row r="8" spans="1:39" ht="16" thickBot="1" x14ac:dyDescent="0.4">
      <c r="A8" s="459"/>
      <c r="B8" s="829"/>
      <c r="C8" s="837"/>
      <c r="D8" s="839"/>
      <c r="E8" s="841"/>
      <c r="F8" s="845"/>
      <c r="G8" s="845"/>
      <c r="H8" s="839"/>
      <c r="I8" s="845"/>
      <c r="J8" s="837"/>
      <c r="K8" s="837"/>
      <c r="L8" s="839"/>
      <c r="M8" s="847"/>
      <c r="N8" s="843"/>
      <c r="O8" s="827"/>
      <c r="P8" s="820"/>
      <c r="Q8" s="727">
        <f>Q70+Q132</f>
        <v>124</v>
      </c>
      <c r="R8" s="719">
        <f t="shared" ref="R8:AG8" si="0">R70+R132</f>
        <v>0</v>
      </c>
      <c r="S8" s="463">
        <f>S70+S132</f>
        <v>124</v>
      </c>
      <c r="T8" s="464">
        <f>T70+T132</f>
        <v>124</v>
      </c>
      <c r="U8" s="463">
        <f t="shared" si="0"/>
        <v>0</v>
      </c>
      <c r="V8" s="463">
        <f>V70+V132</f>
        <v>124</v>
      </c>
      <c r="W8" s="464">
        <f>W70+W132</f>
        <v>124</v>
      </c>
      <c r="X8" s="465">
        <f>X70+X132</f>
        <v>18</v>
      </c>
      <c r="Y8" s="466">
        <f t="shared" si="0"/>
        <v>26</v>
      </c>
      <c r="Z8" s="466">
        <f t="shared" si="0"/>
        <v>34</v>
      </c>
      <c r="AA8" s="466">
        <f t="shared" si="0"/>
        <v>46</v>
      </c>
      <c r="AB8" s="466">
        <f>AB70+AB132</f>
        <v>124</v>
      </c>
      <c r="AC8" s="465">
        <f>AC70+AC132</f>
        <v>0</v>
      </c>
      <c r="AD8" s="466">
        <f t="shared" si="0"/>
        <v>0</v>
      </c>
      <c r="AE8" s="466">
        <f t="shared" si="0"/>
        <v>0</v>
      </c>
      <c r="AF8" s="466">
        <f t="shared" si="0"/>
        <v>0</v>
      </c>
      <c r="AG8" s="466">
        <f t="shared" si="0"/>
        <v>0</v>
      </c>
      <c r="AH8" s="829"/>
      <c r="AI8" s="820"/>
      <c r="AJ8" s="827"/>
      <c r="AK8" s="827"/>
      <c r="AL8" s="822"/>
      <c r="AM8" s="827"/>
    </row>
    <row r="9" spans="1:39" x14ac:dyDescent="0.25">
      <c r="A9" s="821" t="s">
        <v>191</v>
      </c>
      <c r="B9" s="738" t="s">
        <v>192</v>
      </c>
      <c r="C9" s="739" t="s">
        <v>193</v>
      </c>
      <c r="D9" s="740"/>
      <c r="E9" s="595" t="s">
        <v>194</v>
      </c>
      <c r="F9" s="611" t="s">
        <v>195</v>
      </c>
      <c r="G9" s="596" t="s">
        <v>91</v>
      </c>
      <c r="H9" s="612" t="s">
        <v>196</v>
      </c>
      <c r="I9" s="599"/>
      <c r="J9" s="581" t="s">
        <v>197</v>
      </c>
      <c r="K9" s="600">
        <v>2</v>
      </c>
      <c r="L9" s="603">
        <v>11</v>
      </c>
      <c r="M9" s="588">
        <v>4</v>
      </c>
      <c r="N9" s="601"/>
      <c r="O9" s="602"/>
      <c r="P9" s="715">
        <f>IF(OR(M9="",J9=Paramétrage!$D$9,J9=Paramétrage!$D$12,J9=Paramétrage!$D$15,J9=Paramétrage!$D$18,J9=Paramétrage!$D$22,J9=Paramétrage!$D$25,AND(J9&lt;&gt;Paramétrage!$D$9,N9="Mut+ext")),0,ROUNDUP(L9/M9,0))</f>
        <v>3</v>
      </c>
      <c r="Q9" s="728">
        <f>IF(OR(J9="",N9="Mut+ext"),0,IF(VLOOKUP(J9,Paramétrage!$D$6:$F$29,3,0)=0,0,IF(M9="","saisir capacité",K9*P9*VLOOKUP(J9,Paramétrage!$D$6:$F$29,2,0))))</f>
        <v>6</v>
      </c>
      <c r="R9" s="720"/>
      <c r="S9" s="467">
        <f>IF(OR(J9="",N9="Mut+ext"),0,IF(ISERROR(Q9+R9)=TRUE,Q9,Q9+R9))</f>
        <v>6</v>
      </c>
      <c r="T9" s="468">
        <f>IF(J9="",0,IF(ISERROR(R9+Q9*VLOOKUP(J9,Paramétrage!$D$6:$F$29,3,0))=TRUE,S9,R9+Q9*VLOOKUP(J9,Paramétrage!$D$6:$F$29,3,0)))</f>
        <v>6</v>
      </c>
      <c r="U9" s="579"/>
      <c r="V9" s="467">
        <f>IF(OR(J9="",N9="Mut+ext"),0,IF(ISERROR(Q9+U9)=TRUE,Q9,Q9+U9))</f>
        <v>6</v>
      </c>
      <c r="W9" s="468">
        <f>IF(J9="",0,IF(ISERROR(U9+Q9*VLOOKUP(J9,Paramétrage!$D$6:$F$29,3,0))=TRUE,V9,U9+Q9*VLOOKUP(J9,Paramétrage!$D$6:$F$29,3,0)))</f>
        <v>6</v>
      </c>
      <c r="X9" s="583"/>
      <c r="Y9" s="584">
        <v>2</v>
      </c>
      <c r="Z9" s="584"/>
      <c r="AA9" s="584">
        <v>4</v>
      </c>
      <c r="AB9" s="469">
        <f>SUM(X9:AA9)</f>
        <v>6</v>
      </c>
      <c r="AC9" s="587"/>
      <c r="AD9" s="587"/>
      <c r="AE9" s="587"/>
      <c r="AF9" s="587"/>
      <c r="AG9" s="469">
        <f>SUM(AC9:AF9)</f>
        <v>0</v>
      </c>
      <c r="AH9" s="824"/>
      <c r="AI9" s="824"/>
      <c r="AJ9" s="825"/>
      <c r="AK9" s="470">
        <f>VLOOKUP(G9,Paramétrage!$L$6:$M$12,2,0)</f>
        <v>2</v>
      </c>
      <c r="AL9" s="712">
        <f>IF(E9="",0,IF(H9="",0,IF(SUMIF($E$9:$E$69,E9,$L$9:$L$69)=0,0,IF(H9="Obligatoire",IF(L9=0,0,AM9/L9),IF(I9="",AM9/SUMIF($E$9:$E$69,E9,$L$9:$L$69),AM9/(SUMIF($E$9:$E$69,E9,$L$9:$L$69)/I9))))))</f>
        <v>2</v>
      </c>
      <c r="AM9" s="470">
        <f>K9*L9</f>
        <v>22</v>
      </c>
    </row>
    <row r="10" spans="1:39" x14ac:dyDescent="0.25">
      <c r="A10" s="822"/>
      <c r="B10" s="738" t="s">
        <v>192</v>
      </c>
      <c r="C10" s="739" t="s">
        <v>193</v>
      </c>
      <c r="D10" s="740"/>
      <c r="E10" s="595" t="s">
        <v>198</v>
      </c>
      <c r="F10" s="611" t="s">
        <v>199</v>
      </c>
      <c r="G10" s="596" t="s">
        <v>91</v>
      </c>
      <c r="H10" s="597" t="s">
        <v>196</v>
      </c>
      <c r="I10" s="599"/>
      <c r="J10" s="581" t="s">
        <v>197</v>
      </c>
      <c r="K10" s="600">
        <v>22</v>
      </c>
      <c r="L10" s="603">
        <v>11</v>
      </c>
      <c r="M10" s="588">
        <v>20</v>
      </c>
      <c r="N10" s="601"/>
      <c r="O10" s="602"/>
      <c r="P10" s="715">
        <f>IF(OR(M10="",J10=Paramétrage!$D$9,J10=Paramétrage!$D$12,J10=Paramétrage!$D$15,J10=Paramétrage!$D$18,J10=Paramétrage!$D$22,J10=Paramétrage!$D$25,AND(J10&lt;&gt;Paramétrage!$D$9,N10="Mut+ext")),0,ROUNDUP(L10/M10,0))</f>
        <v>1</v>
      </c>
      <c r="Q10" s="728">
        <f>IF(OR(J10="",N10="Mut+ext"),0,IF(VLOOKUP(J10,Paramétrage!$D$6:$F$29,3,0)=0,0,IF(M10="","saisir capacité",K10*P10*VLOOKUP(J10,Paramétrage!$D$6:$F$29,2,0))))</f>
        <v>22</v>
      </c>
      <c r="R10" s="721"/>
      <c r="S10" s="467">
        <f>IF(OR(J10="",N10="Mut+ext"),0,IF(ISERROR(Q10+R10)=TRUE,Q10,Q10+R10))</f>
        <v>22</v>
      </c>
      <c r="T10" s="471">
        <f>IF(J10="",0,IF(ISERROR(R10+Q10*VLOOKUP(J10,Paramétrage!$D$6:$F$29,3,0))=TRUE,S10,R10+Q10*VLOOKUP(J10,Paramétrage!$D$6:$F$29,3,0)))</f>
        <v>22</v>
      </c>
      <c r="U10" s="580"/>
      <c r="V10" s="467">
        <f>IF(OR(J10="",N10="Mut+ext"),0,IF(ISERROR(Q10+U10)=TRUE,Q10,Q10+U10))</f>
        <v>22</v>
      </c>
      <c r="W10" s="471">
        <f>IF(J10="",0,IF(ISERROR(U10+Q10*VLOOKUP(J10,Paramétrage!$D$6:$F$29,3,0))=TRUE,V10,U10+Q10*VLOOKUP(J10,Paramétrage!$D$6:$F$29,3,0)))</f>
        <v>22</v>
      </c>
      <c r="X10" s="585">
        <v>10</v>
      </c>
      <c r="Y10" s="581"/>
      <c r="Z10" s="581">
        <v>2</v>
      </c>
      <c r="AA10" s="581">
        <v>10</v>
      </c>
      <c r="AB10" s="472">
        <f t="shared" ref="AB10:AB69" si="1">SUM(X10:AA10)</f>
        <v>22</v>
      </c>
      <c r="AC10" s="588"/>
      <c r="AD10" s="588"/>
      <c r="AE10" s="588"/>
      <c r="AF10" s="588"/>
      <c r="AG10" s="472">
        <f t="shared" ref="AG10:AG104" si="2">SUM(AC10:AF10)</f>
        <v>0</v>
      </c>
      <c r="AH10" s="815"/>
      <c r="AI10" s="815"/>
      <c r="AJ10" s="816"/>
      <c r="AK10" s="473">
        <f>VLOOKUP(G10,Paramétrage!$L$6:$M$12,2,0)</f>
        <v>2</v>
      </c>
      <c r="AL10" s="712">
        <f t="shared" ref="AL10:AL69" si="3">IF(E10="",0,IF(H10="",0,IF(SUMIF($E$9:$E$69,E10,$L$9:$L$69)=0,0,IF(H10="Obligatoire",IF(L10=0,0,AM10/L10),IF(I10="",AM10/SUMIF($E$9:$E$69,E10,$L$9:$L$69),AM10/(SUMIF($E$9:$E$69,E10,$L$9:$L$69)/I10))))))</f>
        <v>22</v>
      </c>
      <c r="AM10" s="473">
        <f t="shared" ref="AM10:AM69" si="4">K10*L10</f>
        <v>242</v>
      </c>
    </row>
    <row r="11" spans="1:39" x14ac:dyDescent="0.25">
      <c r="A11" s="822"/>
      <c r="B11" s="738" t="s">
        <v>200</v>
      </c>
      <c r="C11" s="739" t="s">
        <v>201</v>
      </c>
      <c r="D11" s="740"/>
      <c r="E11" s="595" t="s">
        <v>202</v>
      </c>
      <c r="F11" s="611" t="s">
        <v>201</v>
      </c>
      <c r="G11" s="596" t="s">
        <v>91</v>
      </c>
      <c r="H11" s="597" t="s">
        <v>196</v>
      </c>
      <c r="I11" s="599"/>
      <c r="J11" s="581" t="s">
        <v>197</v>
      </c>
      <c r="K11" s="600">
        <v>32</v>
      </c>
      <c r="L11" s="603">
        <v>11</v>
      </c>
      <c r="M11" s="588">
        <v>20</v>
      </c>
      <c r="N11" s="601"/>
      <c r="O11" s="602"/>
      <c r="P11" s="715">
        <f>IF(OR(M11="",J11=Paramétrage!$D$9,J11=Paramétrage!$D$12,J11=Paramétrage!$D$15,J11=Paramétrage!$D$18,J11=Paramétrage!$D$22,J11=Paramétrage!$D$25,AND(J11&lt;&gt;Paramétrage!$D$9,N11="Mut+ext")),0,ROUNDUP(L11/M11,0))</f>
        <v>1</v>
      </c>
      <c r="Q11" s="728">
        <f>IF(OR(J11="",N11="Mut+ext"),0,IF(VLOOKUP(J11,Paramétrage!$D$6:$F$29,3,0)=0,0,IF(M11="","saisir capacité",K11*P11*VLOOKUP(J11,Paramétrage!$D$6:$F$29,2,0))))</f>
        <v>32</v>
      </c>
      <c r="R11" s="721"/>
      <c r="S11" s="467">
        <f t="shared" ref="S11:S69" si="5">IF(OR(J11="",N11="Mut+ext"),0,IF(ISERROR(Q11+R11)=TRUE,Q11,Q11+R11))</f>
        <v>32</v>
      </c>
      <c r="T11" s="471">
        <f>IF(J11="",0,IF(ISERROR(R11+Q11*VLOOKUP(J11,Paramétrage!$D$6:$F$29,3,0))=TRUE,S11,R11+Q11*VLOOKUP(J11,Paramétrage!$D$6:$F$29,3,0)))</f>
        <v>32</v>
      </c>
      <c r="U11" s="580"/>
      <c r="V11" s="467">
        <f t="shared" ref="V11:V69" si="6">IF(OR(J11="",N11="Mut+ext"),0,IF(ISERROR(Q11+U11)=TRUE,Q11,Q11+U11))</f>
        <v>32</v>
      </c>
      <c r="W11" s="471">
        <f>IF(J11="",0,IF(ISERROR(U11+Q11*VLOOKUP(J11,Paramétrage!$D$6:$F$29,3,0))=TRUE,V11,U11+Q11*VLOOKUP(J11,Paramétrage!$D$6:$F$29,3,0)))</f>
        <v>32</v>
      </c>
      <c r="X11" s="585"/>
      <c r="Y11" s="588">
        <v>9</v>
      </c>
      <c r="Z11" s="581">
        <v>14</v>
      </c>
      <c r="AA11" s="581">
        <v>9</v>
      </c>
      <c r="AB11" s="472">
        <f t="shared" si="1"/>
        <v>32</v>
      </c>
      <c r="AC11" s="588"/>
      <c r="AD11" s="588"/>
      <c r="AE11" s="588"/>
      <c r="AF11" s="588"/>
      <c r="AG11" s="472">
        <f t="shared" si="2"/>
        <v>0</v>
      </c>
      <c r="AH11" s="815"/>
      <c r="AI11" s="815"/>
      <c r="AJ11" s="816"/>
      <c r="AK11" s="473">
        <f>VLOOKUP(G11,Paramétrage!$L$6:$M$12,2,0)</f>
        <v>2</v>
      </c>
      <c r="AL11" s="712">
        <f t="shared" si="3"/>
        <v>32</v>
      </c>
      <c r="AM11" s="473">
        <f t="shared" si="4"/>
        <v>352</v>
      </c>
    </row>
    <row r="12" spans="1:39" x14ac:dyDescent="0.25">
      <c r="A12" s="822"/>
      <c r="B12" s="738" t="s">
        <v>203</v>
      </c>
      <c r="C12" s="739" t="s">
        <v>204</v>
      </c>
      <c r="D12" s="740"/>
      <c r="E12" s="595" t="s">
        <v>205</v>
      </c>
      <c r="F12" s="611" t="s">
        <v>204</v>
      </c>
      <c r="G12" s="596" t="s">
        <v>91</v>
      </c>
      <c r="H12" s="597" t="s">
        <v>196</v>
      </c>
      <c r="I12" s="599"/>
      <c r="J12" s="581" t="s">
        <v>197</v>
      </c>
      <c r="K12" s="600">
        <v>24</v>
      </c>
      <c r="L12" s="603">
        <v>11</v>
      </c>
      <c r="M12" s="588">
        <v>20</v>
      </c>
      <c r="N12" s="601"/>
      <c r="O12" s="602"/>
      <c r="P12" s="715">
        <f>IF(OR(M12="",J12=Paramétrage!$D$9,J12=Paramétrage!$D$12,J12=Paramétrage!$D$15,J12=Paramétrage!$D$18,J12=Paramétrage!$D$22,J12=Paramétrage!$D$25,AND(J12&lt;&gt;Paramétrage!$D$9,N12="Mut+ext")),0,ROUNDUP(L12/M12,0))</f>
        <v>1</v>
      </c>
      <c r="Q12" s="728">
        <f>IF(OR(J12="",N12="Mut+ext"),0,IF(VLOOKUP(J12,Paramétrage!$D$6:$F$29,3,0)=0,0,IF(M12="","saisir capacité",K12*P12*VLOOKUP(J12,Paramétrage!$D$6:$F$29,2,0))))</f>
        <v>24</v>
      </c>
      <c r="R12" s="721"/>
      <c r="S12" s="467">
        <f>IF(OR(J12="",N12="Mut+ext"),0,IF(ISERROR(Q12+R12)=TRUE,Q12,Q12+R12))</f>
        <v>24</v>
      </c>
      <c r="T12" s="471">
        <f>IF(J12="",0,IF(ISERROR(R12+Q12*VLOOKUP(J12,Paramétrage!$D$6:$F$29,3,0))=TRUE,S12,R12+Q12*VLOOKUP(J12,Paramétrage!$D$6:$F$29,3,0)))</f>
        <v>24</v>
      </c>
      <c r="U12" s="580"/>
      <c r="V12" s="467">
        <f t="shared" si="6"/>
        <v>24</v>
      </c>
      <c r="W12" s="471">
        <f>IF(J12="",0,IF(ISERROR(U12+Q12*VLOOKUP(J12,Paramétrage!$D$6:$F$29,3,0))=TRUE,V12,U12+Q12*VLOOKUP(J12,Paramétrage!$D$6:$F$29,3,0)))</f>
        <v>24</v>
      </c>
      <c r="X12" s="585"/>
      <c r="Y12" s="588">
        <v>5</v>
      </c>
      <c r="Z12" s="581">
        <v>14</v>
      </c>
      <c r="AA12" s="581">
        <v>5</v>
      </c>
      <c r="AB12" s="472">
        <f>SUM(X12:AA12)</f>
        <v>24</v>
      </c>
      <c r="AC12" s="588"/>
      <c r="AD12" s="588"/>
      <c r="AE12" s="588"/>
      <c r="AF12" s="588"/>
      <c r="AG12" s="472">
        <f t="shared" si="2"/>
        <v>0</v>
      </c>
      <c r="AH12" s="815"/>
      <c r="AI12" s="815"/>
      <c r="AJ12" s="816"/>
      <c r="AK12" s="473">
        <f>VLOOKUP(G12,Paramétrage!$L$6:$M$12,2,0)</f>
        <v>2</v>
      </c>
      <c r="AL12" s="712">
        <f t="shared" si="3"/>
        <v>24</v>
      </c>
      <c r="AM12" s="473">
        <f t="shared" si="4"/>
        <v>264</v>
      </c>
    </row>
    <row r="13" spans="1:39" x14ac:dyDescent="0.25">
      <c r="A13" s="822"/>
      <c r="B13" s="738" t="s">
        <v>206</v>
      </c>
      <c r="C13" s="739" t="s">
        <v>207</v>
      </c>
      <c r="D13" s="740"/>
      <c r="E13" s="595" t="s">
        <v>208</v>
      </c>
      <c r="F13" s="611" t="s">
        <v>207</v>
      </c>
      <c r="G13" s="596" t="s">
        <v>91</v>
      </c>
      <c r="H13" s="597" t="s">
        <v>196</v>
      </c>
      <c r="I13" s="599"/>
      <c r="J13" s="581" t="s">
        <v>197</v>
      </c>
      <c r="K13" s="600">
        <v>24</v>
      </c>
      <c r="L13" s="603">
        <v>11</v>
      </c>
      <c r="M13" s="588">
        <v>20</v>
      </c>
      <c r="N13" s="601"/>
      <c r="O13" s="602"/>
      <c r="P13" s="715">
        <f>IF(OR(M13="",J13=Paramétrage!$D$9,J13=Paramétrage!$D$12,J13=Paramétrage!$D$15,J13=Paramétrage!$D$18,J13=Paramétrage!$D$22,J13=Paramétrage!$D$25,AND(J13&lt;&gt;Paramétrage!$D$9,N13="Mut+ext")),0,ROUNDUP(L13/M13,0))</f>
        <v>1</v>
      </c>
      <c r="Q13" s="728">
        <f>IF(OR(J13="",N13="Mut+ext"),0,IF(VLOOKUP(J13,Paramétrage!$D$6:$F$29,3,0)=0,0,IF(M13="","saisir capacité",K13*P13*VLOOKUP(J13,Paramétrage!$D$6:$F$29,2,0))))</f>
        <v>24</v>
      </c>
      <c r="R13" s="721"/>
      <c r="S13" s="467">
        <f t="shared" si="5"/>
        <v>24</v>
      </c>
      <c r="T13" s="471">
        <f>IF(J13="",0,IF(ISERROR(R13+Q13*VLOOKUP(J13,Paramétrage!$D$6:$F$29,3,0))=TRUE,S13,R13+Q13*VLOOKUP(J13,Paramétrage!$D$6:$F$29,3,0)))</f>
        <v>24</v>
      </c>
      <c r="U13" s="580"/>
      <c r="V13" s="467">
        <f>IF(OR(J13="",N13="Mut+ext"),0,IF(ISERROR(Q13+U13)=TRUE,Q13,Q13+U13))</f>
        <v>24</v>
      </c>
      <c r="W13" s="471">
        <f>IF(J13="",0,IF(ISERROR(U13+Q13*VLOOKUP(J13,Paramétrage!$D$6:$F$29,3,0))=TRUE,V13,U13+Q13*VLOOKUP(J13,Paramétrage!$D$6:$F$29,3,0)))</f>
        <v>24</v>
      </c>
      <c r="X13" s="585"/>
      <c r="Y13" s="588">
        <v>10</v>
      </c>
      <c r="Z13" s="581">
        <v>4</v>
      </c>
      <c r="AA13" s="581">
        <v>10</v>
      </c>
      <c r="AB13" s="472">
        <f t="shared" si="1"/>
        <v>24</v>
      </c>
      <c r="AC13" s="588"/>
      <c r="AD13" s="588"/>
      <c r="AE13" s="588"/>
      <c r="AF13" s="588"/>
      <c r="AG13" s="472">
        <f t="shared" si="2"/>
        <v>0</v>
      </c>
      <c r="AH13" s="815"/>
      <c r="AI13" s="815"/>
      <c r="AJ13" s="816"/>
      <c r="AK13" s="473">
        <f>VLOOKUP(G13,Paramétrage!$L$6:$M$12,2,0)</f>
        <v>2</v>
      </c>
      <c r="AL13" s="712">
        <f t="shared" si="3"/>
        <v>24</v>
      </c>
      <c r="AM13" s="473">
        <f t="shared" si="4"/>
        <v>264</v>
      </c>
    </row>
    <row r="14" spans="1:39" x14ac:dyDescent="0.25">
      <c r="A14" s="822"/>
      <c r="B14" s="738" t="s">
        <v>209</v>
      </c>
      <c r="C14" s="739" t="s">
        <v>210</v>
      </c>
      <c r="D14" s="740"/>
      <c r="E14" s="595" t="s">
        <v>211</v>
      </c>
      <c r="F14" s="611" t="s">
        <v>210</v>
      </c>
      <c r="G14" s="596" t="s">
        <v>91</v>
      </c>
      <c r="H14" s="597" t="s">
        <v>196</v>
      </c>
      <c r="I14" s="599"/>
      <c r="J14" s="581" t="s">
        <v>197</v>
      </c>
      <c r="K14" s="600">
        <v>16</v>
      </c>
      <c r="L14" s="603">
        <v>11</v>
      </c>
      <c r="M14" s="588">
        <v>20</v>
      </c>
      <c r="N14" s="601"/>
      <c r="O14" s="602"/>
      <c r="P14" s="715">
        <f>IF(OR(M14="",J14=Paramétrage!$D$9,J14=Paramétrage!$D$12,J14=Paramétrage!$D$15,J14=Paramétrage!$D$18,J14=Paramétrage!$D$22,J14=Paramétrage!$D$25,AND(J14&lt;&gt;Paramétrage!$D$9,N14="Mut+ext")),0,ROUNDUP(L14/M14,0))</f>
        <v>1</v>
      </c>
      <c r="Q14" s="728">
        <f>IF(OR(J14="",N14="Mut+ext"),0,IF(VLOOKUP(J14,Paramétrage!$D$6:$F$29,3,0)=0,0,IF(M14="","saisir capacité",K14*P14*VLOOKUP(J14,Paramétrage!$D$6:$F$29,2,0))))</f>
        <v>16</v>
      </c>
      <c r="R14" s="721"/>
      <c r="S14" s="467">
        <f t="shared" si="5"/>
        <v>16</v>
      </c>
      <c r="T14" s="471">
        <f>IF(J14="",0,IF(ISERROR(R14+Q14*VLOOKUP(J14,Paramétrage!$D$6:$F$29,3,0))=TRUE,S14,R14+Q14*VLOOKUP(J14,Paramétrage!$D$6:$F$29,3,0)))</f>
        <v>16</v>
      </c>
      <c r="U14" s="580"/>
      <c r="V14" s="467">
        <f t="shared" si="6"/>
        <v>16</v>
      </c>
      <c r="W14" s="471">
        <f>IF(J14="",0,IF(ISERROR(U14+Q14*VLOOKUP(J14,Paramétrage!$D$6:$F$29,3,0))=TRUE,V14,U14+Q14*VLOOKUP(J14,Paramétrage!$D$6:$F$29,3,0)))</f>
        <v>16</v>
      </c>
      <c r="X14" s="585">
        <v>8</v>
      </c>
      <c r="Y14" s="588"/>
      <c r="Z14" s="581"/>
      <c r="AA14" s="581">
        <v>8</v>
      </c>
      <c r="AB14" s="472">
        <f t="shared" si="1"/>
        <v>16</v>
      </c>
      <c r="AC14" s="588"/>
      <c r="AD14" s="588"/>
      <c r="AE14" s="588"/>
      <c r="AF14" s="588"/>
      <c r="AG14" s="472">
        <f t="shared" si="2"/>
        <v>0</v>
      </c>
      <c r="AH14" s="815"/>
      <c r="AI14" s="815"/>
      <c r="AJ14" s="816"/>
      <c r="AK14" s="473">
        <f>VLOOKUP(G14,Paramétrage!$L$6:$M$12,2,0)</f>
        <v>2</v>
      </c>
      <c r="AL14" s="712">
        <f t="shared" si="3"/>
        <v>16</v>
      </c>
      <c r="AM14" s="473">
        <f t="shared" si="4"/>
        <v>176</v>
      </c>
    </row>
    <row r="15" spans="1:39" x14ac:dyDescent="0.25">
      <c r="A15" s="822"/>
      <c r="B15" s="738"/>
      <c r="C15" s="739"/>
      <c r="D15" s="740"/>
      <c r="E15" s="595"/>
      <c r="F15" s="611"/>
      <c r="G15" s="596"/>
      <c r="H15" s="597"/>
      <c r="I15" s="599"/>
      <c r="J15" s="581"/>
      <c r="K15" s="600"/>
      <c r="L15" s="603"/>
      <c r="M15" s="588"/>
      <c r="N15" s="601"/>
      <c r="O15" s="602"/>
      <c r="P15" s="715">
        <f>IF(OR(M15="",J15=Paramétrage!$D$9,J15=Paramétrage!$D$12,J15=Paramétrage!$D$15,J15=Paramétrage!$D$18,J15=Paramétrage!$D$22,J15=Paramétrage!$D$25,AND(J15&lt;&gt;Paramétrage!$D$9,N15="Mut+ext")),0,ROUNDUP(L15/M15,0))</f>
        <v>0</v>
      </c>
      <c r="Q15" s="728">
        <f>IF(OR(J15="",N15="Mut+ext"),0,IF(VLOOKUP(J15,Paramétrage!$D$6:$F$29,3,0)=0,0,IF(M15="","saisir capacité",K15*P15*VLOOKUP(J15,Paramétrage!$D$6:$F$29,2,0))))</f>
        <v>0</v>
      </c>
      <c r="R15" s="721"/>
      <c r="S15" s="467">
        <f>IF(OR(J15="",N15="Mut+ext"),0,IF(ISERROR(Q15+R15)=TRUE,Q15,Q15+R15))</f>
        <v>0</v>
      </c>
      <c r="T15" s="471">
        <f>IF(J15="",0,IF(ISERROR(R15+Q15*VLOOKUP(J15,Paramétrage!$D$6:$F$29,3,0))=TRUE,S15,R15+Q15*VLOOKUP(J15,Paramétrage!$D$6:$F$29,3,0)))</f>
        <v>0</v>
      </c>
      <c r="U15" s="580"/>
      <c r="V15" s="467">
        <f t="shared" si="6"/>
        <v>0</v>
      </c>
      <c r="W15" s="471">
        <f>IF(J15="",0,IF(ISERROR(U15+Q15*VLOOKUP(J15,Paramétrage!$D$6:$F$29,3,0))=TRUE,V15,U15+Q15*VLOOKUP(J15,Paramétrage!$D$6:$F$29,3,0)))</f>
        <v>0</v>
      </c>
      <c r="X15" s="585"/>
      <c r="Y15" s="588"/>
      <c r="Z15" s="581"/>
      <c r="AA15" s="581"/>
      <c r="AB15" s="472">
        <f>SUM(X15:AA15)</f>
        <v>0</v>
      </c>
      <c r="AC15" s="588"/>
      <c r="AD15" s="588"/>
      <c r="AE15" s="588"/>
      <c r="AF15" s="588"/>
      <c r="AG15" s="472">
        <f t="shared" si="2"/>
        <v>0</v>
      </c>
      <c r="AH15" s="815"/>
      <c r="AI15" s="815"/>
      <c r="AJ15" s="816"/>
      <c r="AK15" s="473" t="e">
        <f>VLOOKUP(G15,Paramétrage!$L$6:$M$12,2,0)</f>
        <v>#N/A</v>
      </c>
      <c r="AL15" s="712">
        <f t="shared" si="3"/>
        <v>0</v>
      </c>
      <c r="AM15" s="473">
        <f t="shared" si="4"/>
        <v>0</v>
      </c>
    </row>
    <row r="16" spans="1:39" x14ac:dyDescent="0.25">
      <c r="A16" s="822"/>
      <c r="B16" s="738"/>
      <c r="C16" s="739"/>
      <c r="D16" s="740"/>
      <c r="E16" s="595"/>
      <c r="F16" s="611"/>
      <c r="G16" s="596"/>
      <c r="H16" s="597"/>
      <c r="I16" s="599"/>
      <c r="J16" s="581"/>
      <c r="K16" s="600"/>
      <c r="L16" s="603"/>
      <c r="M16" s="588"/>
      <c r="N16" s="601"/>
      <c r="O16" s="602"/>
      <c r="P16" s="715">
        <f>IF(OR(M16="",J16=Paramétrage!$D$9,J16=Paramétrage!$D$12,J16=Paramétrage!$D$15,J16=Paramétrage!$D$18,J16=Paramétrage!$D$22,J16=Paramétrage!$D$25,AND(J16&lt;&gt;Paramétrage!$D$9,N16="Mut+ext")),0,ROUNDUP(L16/M16,0))</f>
        <v>0</v>
      </c>
      <c r="Q16" s="728">
        <f>IF(OR(J16="",N16="Mut+ext"),0,IF(VLOOKUP(J16,Paramétrage!$D$6:$F$29,3,0)=0,0,IF(M16="","saisir capacité",K16*P16*VLOOKUP(J16,Paramétrage!$D$6:$F$29,2,0))))</f>
        <v>0</v>
      </c>
      <c r="R16" s="721"/>
      <c r="S16" s="467">
        <f>IF(OR(J16="",N16="Mut+ext"),0,IF(ISERROR(Q16+R16)=TRUE,Q16,Q16+R16))</f>
        <v>0</v>
      </c>
      <c r="T16" s="471">
        <f>IF(J16="",0,IF(ISERROR(R16+Q16*VLOOKUP(J16,Paramétrage!$D$6:$F$29,3,0))=TRUE,S16,R16+Q16*VLOOKUP(J16,Paramétrage!$D$6:$F$29,3,0)))</f>
        <v>0</v>
      </c>
      <c r="U16" s="580"/>
      <c r="V16" s="467">
        <f t="shared" si="6"/>
        <v>0</v>
      </c>
      <c r="W16" s="471">
        <f>IF(J16="",0,IF(ISERROR(U16+Q16*VLOOKUP(J16,Paramétrage!$D$6:$F$29,3,0))=TRUE,V16,U16+Q16*VLOOKUP(J16,Paramétrage!$D$6:$F$29,3,0)))</f>
        <v>0</v>
      </c>
      <c r="X16" s="585"/>
      <c r="Y16" s="581"/>
      <c r="Z16" s="581"/>
      <c r="AA16" s="581"/>
      <c r="AB16" s="472">
        <f t="shared" si="1"/>
        <v>0</v>
      </c>
      <c r="AC16" s="588"/>
      <c r="AD16" s="588"/>
      <c r="AE16" s="588"/>
      <c r="AF16" s="588"/>
      <c r="AG16" s="472">
        <f t="shared" si="2"/>
        <v>0</v>
      </c>
      <c r="AH16" s="815"/>
      <c r="AI16" s="815"/>
      <c r="AJ16" s="816"/>
      <c r="AK16" s="473" t="e">
        <f>VLOOKUP(G16,Paramétrage!$L$6:$M$12,2,0)</f>
        <v>#N/A</v>
      </c>
      <c r="AL16" s="712">
        <f t="shared" si="3"/>
        <v>0</v>
      </c>
      <c r="AM16" s="473">
        <f t="shared" si="4"/>
        <v>0</v>
      </c>
    </row>
    <row r="17" spans="1:39" x14ac:dyDescent="0.25">
      <c r="A17" s="822"/>
      <c r="B17" s="738"/>
      <c r="C17" s="739"/>
      <c r="D17" s="740"/>
      <c r="E17" s="595"/>
      <c r="F17" s="611"/>
      <c r="G17" s="596"/>
      <c r="H17" s="597"/>
      <c r="I17" s="599"/>
      <c r="J17" s="581"/>
      <c r="K17" s="600"/>
      <c r="L17" s="603"/>
      <c r="M17" s="588"/>
      <c r="N17" s="601"/>
      <c r="O17" s="602"/>
      <c r="P17" s="715">
        <f>IF(OR(M17="",J17=Paramétrage!$D$9,J17=Paramétrage!$D$12,J17=Paramétrage!$D$15,J17=Paramétrage!$D$18,J17=Paramétrage!$D$22,J17=Paramétrage!$D$25,AND(J17&lt;&gt;Paramétrage!$D$9,N17="Mut+ext")),0,ROUNDUP(L17/M17,0))</f>
        <v>0</v>
      </c>
      <c r="Q17" s="728">
        <f>IF(OR(J17="",N17="Mut+ext"),0,IF(VLOOKUP(J17,Paramétrage!$D$6:$F$29,3,0)=0,0,IF(M17="","saisir capacité",K17*P17*VLOOKUP(J17,Paramétrage!$D$6:$F$29,2,0))))</f>
        <v>0</v>
      </c>
      <c r="R17" s="721"/>
      <c r="S17" s="467">
        <f t="shared" si="5"/>
        <v>0</v>
      </c>
      <c r="T17" s="471">
        <f>IF(J17="",0,IF(ISERROR(R17+Q17*VLOOKUP(J17,Paramétrage!$D$6:$F$29,3,0))=TRUE,S17,R17+Q17*VLOOKUP(J17,Paramétrage!$D$6:$F$29,3,0)))</f>
        <v>0</v>
      </c>
      <c r="U17" s="580"/>
      <c r="V17" s="467">
        <f t="shared" si="6"/>
        <v>0</v>
      </c>
      <c r="W17" s="471">
        <f>IF(J17="",0,IF(ISERROR(U17+Q17*VLOOKUP(J17,Paramétrage!$D$6:$F$29,3,0))=TRUE,V17,U17+Q17*VLOOKUP(J17,Paramétrage!$D$6:$F$29,3,0)))</f>
        <v>0</v>
      </c>
      <c r="X17" s="585"/>
      <c r="Y17" s="581"/>
      <c r="Z17" s="581"/>
      <c r="AA17" s="581"/>
      <c r="AB17" s="472">
        <f t="shared" si="1"/>
        <v>0</v>
      </c>
      <c r="AC17" s="588"/>
      <c r="AD17" s="588"/>
      <c r="AE17" s="588"/>
      <c r="AF17" s="588"/>
      <c r="AG17" s="472">
        <f t="shared" si="2"/>
        <v>0</v>
      </c>
      <c r="AH17" s="815"/>
      <c r="AI17" s="815"/>
      <c r="AJ17" s="816"/>
      <c r="AK17" s="473" t="e">
        <f>VLOOKUP(G17,Paramétrage!$L$6:$M$12,2,0)</f>
        <v>#N/A</v>
      </c>
      <c r="AL17" s="712">
        <f t="shared" si="3"/>
        <v>0</v>
      </c>
      <c r="AM17" s="473">
        <f t="shared" si="4"/>
        <v>0</v>
      </c>
    </row>
    <row r="18" spans="1:39" x14ac:dyDescent="0.25">
      <c r="A18" s="822"/>
      <c r="B18" s="738"/>
      <c r="C18" s="739"/>
      <c r="D18" s="740"/>
      <c r="E18" s="595"/>
      <c r="F18" s="611"/>
      <c r="G18" s="596"/>
      <c r="H18" s="597"/>
      <c r="I18" s="599"/>
      <c r="J18" s="581"/>
      <c r="K18" s="600"/>
      <c r="L18" s="603"/>
      <c r="M18" s="588"/>
      <c r="N18" s="601"/>
      <c r="O18" s="602"/>
      <c r="P18" s="715">
        <f>IF(OR(M18="",J18=Paramétrage!$D$9,J18=Paramétrage!$D$12,J18=Paramétrage!$D$15,J18=Paramétrage!$D$18,J18=Paramétrage!$D$22,J18=Paramétrage!$D$25,AND(J18&lt;&gt;Paramétrage!$D$9,N18="Mut+ext")),0,ROUNDUP(L18/M18,0))</f>
        <v>0</v>
      </c>
      <c r="Q18" s="728">
        <f>IF(OR(J18="",N18="Mut+ext"),0,IF(VLOOKUP(J18,Paramétrage!$D$6:$F$29,3,0)=0,0,IF(M18="","saisir capacité",K18*P18*VLOOKUP(J18,Paramétrage!$D$6:$F$29,2,0))))</f>
        <v>0</v>
      </c>
      <c r="R18" s="721"/>
      <c r="S18" s="467">
        <f t="shared" si="5"/>
        <v>0</v>
      </c>
      <c r="T18" s="471">
        <f>IF(J18="",0,IF(ISERROR(R18+Q18*VLOOKUP(J18,Paramétrage!$D$6:$F$29,3,0))=TRUE,S18,R18+Q18*VLOOKUP(J18,Paramétrage!$D$6:$F$29,3,0)))</f>
        <v>0</v>
      </c>
      <c r="U18" s="580"/>
      <c r="V18" s="467">
        <f t="shared" si="6"/>
        <v>0</v>
      </c>
      <c r="W18" s="471">
        <f>IF(J18="",0,IF(ISERROR(U18+Q18*VLOOKUP(J18,Paramétrage!$D$6:$F$29,3,0))=TRUE,V18,U18+Q18*VLOOKUP(J18,Paramétrage!$D$6:$F$29,3,0)))</f>
        <v>0</v>
      </c>
      <c r="X18" s="585"/>
      <c r="Y18" s="581"/>
      <c r="Z18" s="581"/>
      <c r="AA18" s="581"/>
      <c r="AB18" s="472">
        <f t="shared" si="1"/>
        <v>0</v>
      </c>
      <c r="AC18" s="588"/>
      <c r="AD18" s="588"/>
      <c r="AE18" s="588"/>
      <c r="AF18" s="588"/>
      <c r="AG18" s="472">
        <f t="shared" si="2"/>
        <v>0</v>
      </c>
      <c r="AH18" s="815"/>
      <c r="AI18" s="815"/>
      <c r="AJ18" s="816"/>
      <c r="AK18" s="473" t="e">
        <f>VLOOKUP(G18,Paramétrage!$L$6:$M$12,2,0)</f>
        <v>#N/A</v>
      </c>
      <c r="AL18" s="712">
        <f t="shared" si="3"/>
        <v>0</v>
      </c>
      <c r="AM18" s="473">
        <f t="shared" si="4"/>
        <v>0</v>
      </c>
    </row>
    <row r="19" spans="1:39" x14ac:dyDescent="0.25">
      <c r="A19" s="822"/>
      <c r="B19" s="738"/>
      <c r="C19" s="739"/>
      <c r="D19" s="740"/>
      <c r="E19" s="595"/>
      <c r="F19" s="611"/>
      <c r="G19" s="596"/>
      <c r="H19" s="597"/>
      <c r="I19" s="599"/>
      <c r="J19" s="581"/>
      <c r="K19" s="600"/>
      <c r="L19" s="603"/>
      <c r="M19" s="588"/>
      <c r="N19" s="601"/>
      <c r="O19" s="602"/>
      <c r="P19" s="715">
        <f>IF(OR(M19="",J19=Paramétrage!$D$9,J19=Paramétrage!$D$12,J19=Paramétrage!$D$15,J19=Paramétrage!$D$18,J19=Paramétrage!$D$22,J19=Paramétrage!$D$25,AND(J19&lt;&gt;Paramétrage!$D$9,N19="Mut+ext")),0,ROUNDUP(L19/M19,0))</f>
        <v>0</v>
      </c>
      <c r="Q19" s="728">
        <f>IF(OR(J19="",N19="Mut+ext"),0,IF(VLOOKUP(J19,Paramétrage!$D$6:$F$29,3,0)=0,0,IF(M19="","saisir capacité",K19*P19*VLOOKUP(J19,Paramétrage!$D$6:$F$29,2,0))))</f>
        <v>0</v>
      </c>
      <c r="R19" s="721"/>
      <c r="S19" s="467">
        <f>IF(OR(J19="",N19="Mut+ext"),0,IF(ISERROR(Q19+R19)=TRUE,Q19,Q19+R19))</f>
        <v>0</v>
      </c>
      <c r="T19" s="471">
        <f>IF(J19="",0,IF(ISERROR(R19+Q19*VLOOKUP(J19,Paramétrage!$D$6:$F$29,3,0))=TRUE,S19,R19+Q19*VLOOKUP(J19,Paramétrage!$D$6:$F$29,3,0)))</f>
        <v>0</v>
      </c>
      <c r="U19" s="580"/>
      <c r="V19" s="467">
        <f t="shared" si="6"/>
        <v>0</v>
      </c>
      <c r="W19" s="471">
        <f>IF(J19="",0,IF(ISERROR(U19+Q19*VLOOKUP(J19,Paramétrage!$D$6:$F$29,3,0))=TRUE,V19,U19+Q19*VLOOKUP(J19,Paramétrage!$D$6:$F$29,3,0)))</f>
        <v>0</v>
      </c>
      <c r="X19" s="585"/>
      <c r="Y19" s="581"/>
      <c r="Z19" s="581"/>
      <c r="AA19" s="581"/>
      <c r="AB19" s="472">
        <f t="shared" si="1"/>
        <v>0</v>
      </c>
      <c r="AC19" s="588"/>
      <c r="AD19" s="588"/>
      <c r="AE19" s="588"/>
      <c r="AF19" s="588"/>
      <c r="AG19" s="472">
        <f t="shared" si="2"/>
        <v>0</v>
      </c>
      <c r="AH19" s="815"/>
      <c r="AI19" s="815"/>
      <c r="AJ19" s="816"/>
      <c r="AK19" s="473" t="e">
        <f>VLOOKUP(G19,Paramétrage!$L$6:$M$12,2,0)</f>
        <v>#N/A</v>
      </c>
      <c r="AL19" s="712">
        <f t="shared" si="3"/>
        <v>0</v>
      </c>
      <c r="AM19" s="473">
        <f t="shared" si="4"/>
        <v>0</v>
      </c>
    </row>
    <row r="20" spans="1:39" x14ac:dyDescent="0.25">
      <c r="A20" s="822"/>
      <c r="B20" s="738"/>
      <c r="C20" s="739"/>
      <c r="D20" s="740"/>
      <c r="E20" s="595"/>
      <c r="F20" s="613"/>
      <c r="G20" s="596"/>
      <c r="H20" s="597"/>
      <c r="I20" s="599"/>
      <c r="J20" s="581"/>
      <c r="K20" s="600"/>
      <c r="L20" s="603"/>
      <c r="M20" s="588"/>
      <c r="N20" s="601"/>
      <c r="O20" s="602"/>
      <c r="P20" s="715">
        <f>IF(OR(M20="",J20=Paramétrage!$D$9,J20=Paramétrage!$D$12,J20=Paramétrage!$D$15,J20=Paramétrage!$D$18,J20=Paramétrage!$D$22,J20=Paramétrage!$D$25,AND(J20&lt;&gt;Paramétrage!$D$9,N20="Mut+ext")),0,ROUNDUP(L20/M20,0))</f>
        <v>0</v>
      </c>
      <c r="Q20" s="728">
        <f>IF(OR(J20="",N20="Mut+ext"),0,IF(VLOOKUP(J20,Paramétrage!$D$6:$F$29,3,0)=0,0,IF(M20="","saisir capacité",K20*P20*VLOOKUP(J20,Paramétrage!$D$6:$F$29,2,0))))</f>
        <v>0</v>
      </c>
      <c r="R20" s="721"/>
      <c r="S20" s="467">
        <f t="shared" si="5"/>
        <v>0</v>
      </c>
      <c r="T20" s="471">
        <f>IF(J20="",0,IF(ISERROR(R20+Q20*VLOOKUP(J20,Paramétrage!$D$6:$F$29,3,0))=TRUE,S20,R20+Q20*VLOOKUP(J20,Paramétrage!$D$6:$F$29,3,0)))</f>
        <v>0</v>
      </c>
      <c r="U20" s="580"/>
      <c r="V20" s="467">
        <f t="shared" si="6"/>
        <v>0</v>
      </c>
      <c r="W20" s="471">
        <f>IF(J20="",0,IF(ISERROR(U20+Q20*VLOOKUP(J20,Paramétrage!$D$6:$F$29,3,0))=TRUE,V20,U20+Q20*VLOOKUP(J20,Paramétrage!$D$6:$F$29,3,0)))</f>
        <v>0</v>
      </c>
      <c r="X20" s="585"/>
      <c r="Y20" s="581"/>
      <c r="Z20" s="581"/>
      <c r="AA20" s="581"/>
      <c r="AB20" s="472">
        <f t="shared" si="1"/>
        <v>0</v>
      </c>
      <c r="AC20" s="588"/>
      <c r="AD20" s="588"/>
      <c r="AE20" s="588"/>
      <c r="AF20" s="588"/>
      <c r="AG20" s="472">
        <f>SUM(AC20:AF20)</f>
        <v>0</v>
      </c>
      <c r="AH20" s="815"/>
      <c r="AI20" s="815"/>
      <c r="AJ20" s="816"/>
      <c r="AK20" s="473" t="e">
        <f>VLOOKUP(G20,Paramétrage!$L$6:$M$12,2,0)</f>
        <v>#N/A</v>
      </c>
      <c r="AL20" s="712">
        <f t="shared" si="3"/>
        <v>0</v>
      </c>
      <c r="AM20" s="473">
        <f t="shared" si="4"/>
        <v>0</v>
      </c>
    </row>
    <row r="21" spans="1:39" x14ac:dyDescent="0.25">
      <c r="A21" s="822"/>
      <c r="B21" s="738"/>
      <c r="C21" s="739"/>
      <c r="D21" s="740"/>
      <c r="E21" s="595"/>
      <c r="F21" s="614"/>
      <c r="G21" s="596"/>
      <c r="H21" s="597"/>
      <c r="I21" s="599"/>
      <c r="J21" s="581"/>
      <c r="K21" s="600"/>
      <c r="L21" s="603"/>
      <c r="M21" s="588"/>
      <c r="N21" s="601"/>
      <c r="O21" s="602"/>
      <c r="P21" s="715">
        <f>IF(OR(M21="",J21=Paramétrage!$D$9,J21=Paramétrage!$D$12,J21=Paramétrage!$D$15,J21=Paramétrage!$D$18,J21=Paramétrage!$D$22,J21=Paramétrage!$D$25,AND(J21&lt;&gt;Paramétrage!$D$9,N21="Mut+ext")),0,ROUNDUP(L21/M21,0))</f>
        <v>0</v>
      </c>
      <c r="Q21" s="728">
        <f>IF(OR(J21="",N21="Mut+ext"),0,IF(VLOOKUP(J21,Paramétrage!$D$6:$F$29,3,0)=0,0,IF(M21="","saisir capacité",K21*P21*VLOOKUP(J21,Paramétrage!$D$6:$F$29,2,0))))</f>
        <v>0</v>
      </c>
      <c r="R21" s="721"/>
      <c r="S21" s="467">
        <f t="shared" si="5"/>
        <v>0</v>
      </c>
      <c r="T21" s="471">
        <f>IF(J21="",0,IF(ISERROR(R21+Q21*VLOOKUP(J21,Paramétrage!$D$6:$F$29,3,0))=TRUE,S21,R21+Q21*VLOOKUP(J21,Paramétrage!$D$6:$F$29,3,0)))</f>
        <v>0</v>
      </c>
      <c r="U21" s="580"/>
      <c r="V21" s="467">
        <f t="shared" si="6"/>
        <v>0</v>
      </c>
      <c r="W21" s="471">
        <f>IF(J21="",0,IF(ISERROR(U21+Q21*VLOOKUP(J21,Paramétrage!$D$6:$F$29,3,0))=TRUE,V21,U21+Q21*VLOOKUP(J21,Paramétrage!$D$6:$F$29,3,0)))</f>
        <v>0</v>
      </c>
      <c r="X21" s="585"/>
      <c r="Y21" s="581"/>
      <c r="Z21" s="581"/>
      <c r="AA21" s="581"/>
      <c r="AB21" s="472">
        <f t="shared" si="1"/>
        <v>0</v>
      </c>
      <c r="AC21" s="588"/>
      <c r="AD21" s="588"/>
      <c r="AE21" s="588"/>
      <c r="AF21" s="588"/>
      <c r="AG21" s="472">
        <f t="shared" si="2"/>
        <v>0</v>
      </c>
      <c r="AH21" s="815"/>
      <c r="AI21" s="815"/>
      <c r="AJ21" s="816"/>
      <c r="AK21" s="473" t="e">
        <f>VLOOKUP(G21,Paramétrage!$L$6:$M$12,2,0)</f>
        <v>#N/A</v>
      </c>
      <c r="AL21" s="712">
        <f t="shared" si="3"/>
        <v>0</v>
      </c>
      <c r="AM21" s="473">
        <f t="shared" si="4"/>
        <v>0</v>
      </c>
    </row>
    <row r="22" spans="1:39" x14ac:dyDescent="0.25">
      <c r="A22" s="822"/>
      <c r="B22" s="738"/>
      <c r="C22" s="739"/>
      <c r="D22" s="740"/>
      <c r="E22" s="595"/>
      <c r="F22" s="614"/>
      <c r="G22" s="596"/>
      <c r="H22" s="597"/>
      <c r="I22" s="599"/>
      <c r="J22" s="581"/>
      <c r="K22" s="600"/>
      <c r="L22" s="603"/>
      <c r="M22" s="588"/>
      <c r="N22" s="601"/>
      <c r="O22" s="602"/>
      <c r="P22" s="715">
        <f>IF(OR(M22="",J22=Paramétrage!$D$9,J22=Paramétrage!$D$12,J22=Paramétrage!$D$15,J22=Paramétrage!$D$18,J22=Paramétrage!$D$22,J22=Paramétrage!$D$25,AND(J22&lt;&gt;Paramétrage!$D$9,N22="Mut+ext")),0,ROUNDUP(L22/M22,0))</f>
        <v>0</v>
      </c>
      <c r="Q22" s="728">
        <f>IF(OR(J22="",N22="Mut+ext"),0,IF(VLOOKUP(J22,Paramétrage!$D$6:$F$29,3,0)=0,0,IF(M22="","saisir capacité",K22*P22*VLOOKUP(J22,Paramétrage!$D$6:$F$29,2,0))))</f>
        <v>0</v>
      </c>
      <c r="R22" s="721"/>
      <c r="S22" s="467">
        <f t="shared" si="5"/>
        <v>0</v>
      </c>
      <c r="T22" s="471">
        <f>IF(J22="",0,IF(ISERROR(R22+Q22*VLOOKUP(J22,Paramétrage!$D$6:$F$29,3,0))=TRUE,S22,R22+Q22*VLOOKUP(J22,Paramétrage!$D$6:$F$29,3,0)))</f>
        <v>0</v>
      </c>
      <c r="U22" s="580"/>
      <c r="V22" s="467">
        <f t="shared" si="6"/>
        <v>0</v>
      </c>
      <c r="W22" s="471">
        <f>IF(J22="",0,IF(ISERROR(U22+Q22*VLOOKUP(J22,Paramétrage!$D$6:$F$29,3,0))=TRUE,V22,U22+Q22*VLOOKUP(J22,Paramétrage!$D$6:$F$29,3,0)))</f>
        <v>0</v>
      </c>
      <c r="X22" s="585"/>
      <c r="Y22" s="581"/>
      <c r="Z22" s="581"/>
      <c r="AA22" s="581"/>
      <c r="AB22" s="472">
        <f t="shared" si="1"/>
        <v>0</v>
      </c>
      <c r="AC22" s="588"/>
      <c r="AD22" s="588"/>
      <c r="AE22" s="588"/>
      <c r="AF22" s="588"/>
      <c r="AG22" s="472">
        <f t="shared" si="2"/>
        <v>0</v>
      </c>
      <c r="AH22" s="815"/>
      <c r="AI22" s="815"/>
      <c r="AJ22" s="816"/>
      <c r="AK22" s="473" t="e">
        <f>VLOOKUP(G22,Paramétrage!$L$6:$M$12,2,0)</f>
        <v>#N/A</v>
      </c>
      <c r="AL22" s="712">
        <f t="shared" si="3"/>
        <v>0</v>
      </c>
      <c r="AM22" s="473">
        <f t="shared" si="4"/>
        <v>0</v>
      </c>
    </row>
    <row r="23" spans="1:39" x14ac:dyDescent="0.25">
      <c r="A23" s="822"/>
      <c r="B23" s="738"/>
      <c r="C23" s="739"/>
      <c r="D23" s="740"/>
      <c r="E23" s="595"/>
      <c r="F23" s="614"/>
      <c r="G23" s="596"/>
      <c r="H23" s="597"/>
      <c r="I23" s="599"/>
      <c r="J23" s="581"/>
      <c r="K23" s="600"/>
      <c r="L23" s="603"/>
      <c r="M23" s="588"/>
      <c r="N23" s="601"/>
      <c r="O23" s="602"/>
      <c r="P23" s="715">
        <f>IF(OR(M23="",J23=Paramétrage!$D$9,J23=Paramétrage!$D$12,J23=Paramétrage!$D$15,J23=Paramétrage!$D$18,J23=Paramétrage!$D$22,J23=Paramétrage!$D$25,AND(J23&lt;&gt;Paramétrage!$D$9,N23="Mut+ext")),0,ROUNDUP(L23/M23,0))</f>
        <v>0</v>
      </c>
      <c r="Q23" s="728">
        <f>IF(OR(J23="",N23="Mut+ext"),0,IF(VLOOKUP(J23,Paramétrage!$D$6:$F$29,3,0)=0,0,IF(M23="","saisir capacité",K23*P23*VLOOKUP(J23,Paramétrage!$D$6:$F$29,2,0))))</f>
        <v>0</v>
      </c>
      <c r="R23" s="721"/>
      <c r="S23" s="467">
        <f t="shared" si="5"/>
        <v>0</v>
      </c>
      <c r="T23" s="471">
        <f>IF(J23="",0,IF(ISERROR(R23+Q23*VLOOKUP(J23,Paramétrage!$D$6:$F$29,3,0))=TRUE,S23,R23+Q23*VLOOKUP(J23,Paramétrage!$D$6:$F$29,3,0)))</f>
        <v>0</v>
      </c>
      <c r="U23" s="580"/>
      <c r="V23" s="467">
        <f t="shared" si="6"/>
        <v>0</v>
      </c>
      <c r="W23" s="471">
        <f>IF(J23="",0,IF(ISERROR(U23+Q23*VLOOKUP(J23,Paramétrage!$D$6:$F$29,3,0))=TRUE,V23,U23+Q23*VLOOKUP(J23,Paramétrage!$D$6:$F$29,3,0)))</f>
        <v>0</v>
      </c>
      <c r="X23" s="585"/>
      <c r="Y23" s="581"/>
      <c r="Z23" s="581"/>
      <c r="AA23" s="581"/>
      <c r="AB23" s="472">
        <f t="shared" si="1"/>
        <v>0</v>
      </c>
      <c r="AC23" s="588"/>
      <c r="AD23" s="588"/>
      <c r="AE23" s="588"/>
      <c r="AF23" s="588"/>
      <c r="AG23" s="472">
        <f t="shared" si="2"/>
        <v>0</v>
      </c>
      <c r="AH23" s="815"/>
      <c r="AI23" s="815"/>
      <c r="AJ23" s="816"/>
      <c r="AK23" s="473" t="e">
        <f>VLOOKUP(G23,Paramétrage!$L$6:$M$12,2,0)</f>
        <v>#N/A</v>
      </c>
      <c r="AL23" s="712">
        <f t="shared" si="3"/>
        <v>0</v>
      </c>
      <c r="AM23" s="473">
        <f t="shared" si="4"/>
        <v>0</v>
      </c>
    </row>
    <row r="24" spans="1:39" x14ac:dyDescent="0.25">
      <c r="A24" s="822"/>
      <c r="B24" s="738"/>
      <c r="C24" s="739"/>
      <c r="D24" s="740"/>
      <c r="E24" s="595"/>
      <c r="F24" s="614"/>
      <c r="G24" s="596"/>
      <c r="H24" s="597"/>
      <c r="I24" s="599"/>
      <c r="J24" s="581"/>
      <c r="K24" s="600"/>
      <c r="L24" s="603"/>
      <c r="M24" s="588"/>
      <c r="N24" s="601"/>
      <c r="O24" s="602"/>
      <c r="P24" s="715">
        <f>IF(OR(M24="",J24=Paramétrage!$D$9,J24=Paramétrage!$D$12,J24=Paramétrage!$D$15,J24=Paramétrage!$D$18,J24=Paramétrage!$D$22,J24=Paramétrage!$D$25,AND(J24&lt;&gt;Paramétrage!$D$9,N24="Mut+ext")),0,ROUNDUP(L24/M24,0))</f>
        <v>0</v>
      </c>
      <c r="Q24" s="728">
        <f>IF(OR(J24="",N24="Mut+ext"),0,IF(VLOOKUP(J24,Paramétrage!$D$6:$F$29,3,0)=0,0,IF(M24="","saisir capacité",K24*P24*VLOOKUP(J24,Paramétrage!$D$6:$F$29,2,0))))</f>
        <v>0</v>
      </c>
      <c r="R24" s="721"/>
      <c r="S24" s="467">
        <f t="shared" si="5"/>
        <v>0</v>
      </c>
      <c r="T24" s="471">
        <f>IF(J24="",0,IF(ISERROR(R24+Q24*VLOOKUP(J24,Paramétrage!$D$6:$F$29,3,0))=TRUE,S24,R24+Q24*VLOOKUP(J24,Paramétrage!$D$6:$F$29,3,0)))</f>
        <v>0</v>
      </c>
      <c r="U24" s="580"/>
      <c r="V24" s="467">
        <f t="shared" si="6"/>
        <v>0</v>
      </c>
      <c r="W24" s="471">
        <f>IF(J24="",0,IF(ISERROR(U24+Q24*VLOOKUP(J24,Paramétrage!$D$6:$F$29,3,0))=TRUE,V24,U24+Q24*VLOOKUP(J24,Paramétrage!$D$6:$F$29,3,0)))</f>
        <v>0</v>
      </c>
      <c r="X24" s="585"/>
      <c r="Y24" s="581"/>
      <c r="Z24" s="581"/>
      <c r="AA24" s="581"/>
      <c r="AB24" s="472">
        <f t="shared" si="1"/>
        <v>0</v>
      </c>
      <c r="AC24" s="588"/>
      <c r="AD24" s="588"/>
      <c r="AE24" s="588"/>
      <c r="AF24" s="588"/>
      <c r="AG24" s="472">
        <f t="shared" si="2"/>
        <v>0</v>
      </c>
      <c r="AH24" s="815"/>
      <c r="AI24" s="815"/>
      <c r="AJ24" s="816"/>
      <c r="AK24" s="473" t="e">
        <f>VLOOKUP(G24,Paramétrage!$L$6:$M$12,2,0)</f>
        <v>#N/A</v>
      </c>
      <c r="AL24" s="712">
        <f t="shared" si="3"/>
        <v>0</v>
      </c>
      <c r="AM24" s="473">
        <f t="shared" si="4"/>
        <v>0</v>
      </c>
    </row>
    <row r="25" spans="1:39" x14ac:dyDescent="0.25">
      <c r="A25" s="822"/>
      <c r="B25" s="738"/>
      <c r="C25" s="739"/>
      <c r="D25" s="740"/>
      <c r="E25" s="595"/>
      <c r="F25" s="614"/>
      <c r="G25" s="596"/>
      <c r="H25" s="597"/>
      <c r="I25" s="599"/>
      <c r="J25" s="581"/>
      <c r="K25" s="600"/>
      <c r="L25" s="603"/>
      <c r="M25" s="588"/>
      <c r="N25" s="601"/>
      <c r="O25" s="602"/>
      <c r="P25" s="715">
        <f>IF(OR(M25="",J25=Paramétrage!$D$9,J25=Paramétrage!$D$12,J25=Paramétrage!$D$15,J25=Paramétrage!$D$18,J25=Paramétrage!$D$22,J25=Paramétrage!$D$25,AND(J25&lt;&gt;Paramétrage!$D$9,N25="Mut+ext")),0,ROUNDUP(L25/M25,0))</f>
        <v>0</v>
      </c>
      <c r="Q25" s="728">
        <f>IF(OR(J25="",N25="Mut+ext"),0,IF(VLOOKUP(J25,Paramétrage!$D$6:$F$29,3,0)=0,0,IF(M25="","saisir capacité",K25*P25*VLOOKUP(J25,Paramétrage!$D$6:$F$29,2,0))))</f>
        <v>0</v>
      </c>
      <c r="R25" s="721"/>
      <c r="S25" s="467">
        <f t="shared" si="5"/>
        <v>0</v>
      </c>
      <c r="T25" s="471">
        <f>IF(J25="",0,IF(ISERROR(R25+Q25*VLOOKUP(J25,Paramétrage!$D$6:$F$29,3,0))=TRUE,S25,R25+Q25*VLOOKUP(J25,Paramétrage!$D$6:$F$29,3,0)))</f>
        <v>0</v>
      </c>
      <c r="U25" s="580"/>
      <c r="V25" s="467">
        <f t="shared" si="6"/>
        <v>0</v>
      </c>
      <c r="W25" s="471">
        <f>IF(J25="",0,IF(ISERROR(U25+Q25*VLOOKUP(J25,Paramétrage!$D$6:$F$29,3,0))=TRUE,V25,U25+Q25*VLOOKUP(J25,Paramétrage!$D$6:$F$29,3,0)))</f>
        <v>0</v>
      </c>
      <c r="X25" s="585"/>
      <c r="Y25" s="581"/>
      <c r="Z25" s="581"/>
      <c r="AA25" s="581"/>
      <c r="AB25" s="472">
        <f t="shared" si="1"/>
        <v>0</v>
      </c>
      <c r="AC25" s="588"/>
      <c r="AD25" s="588"/>
      <c r="AE25" s="588"/>
      <c r="AF25" s="588"/>
      <c r="AG25" s="472">
        <f t="shared" si="2"/>
        <v>0</v>
      </c>
      <c r="AH25" s="815"/>
      <c r="AI25" s="815"/>
      <c r="AJ25" s="816"/>
      <c r="AK25" s="473" t="e">
        <f>VLOOKUP(G25,Paramétrage!$L$6:$M$12,2,0)</f>
        <v>#N/A</v>
      </c>
      <c r="AL25" s="712">
        <f t="shared" si="3"/>
        <v>0</v>
      </c>
      <c r="AM25" s="473">
        <f t="shared" si="4"/>
        <v>0</v>
      </c>
    </row>
    <row r="26" spans="1:39" x14ac:dyDescent="0.25">
      <c r="A26" s="822"/>
      <c r="B26" s="738"/>
      <c r="C26" s="739"/>
      <c r="D26" s="740"/>
      <c r="E26" s="595"/>
      <c r="F26" s="614"/>
      <c r="G26" s="596"/>
      <c r="H26" s="597"/>
      <c r="I26" s="599"/>
      <c r="J26" s="581"/>
      <c r="K26" s="600"/>
      <c r="L26" s="603"/>
      <c r="M26" s="588"/>
      <c r="N26" s="601"/>
      <c r="O26" s="602"/>
      <c r="P26" s="715">
        <f>IF(OR(M26="",J26=Paramétrage!$D$9,J26=Paramétrage!$D$12,J26=Paramétrage!$D$15,J26=Paramétrage!$D$18,J26=Paramétrage!$D$22,J26=Paramétrage!$D$25,AND(J26&lt;&gt;Paramétrage!$D$9,N26="Mut+ext")),0,ROUNDUP(L26/M26,0))</f>
        <v>0</v>
      </c>
      <c r="Q26" s="728">
        <f>IF(OR(J26="",N26="Mut+ext"),0,IF(VLOOKUP(J26,Paramétrage!$D$6:$F$29,3,0)=0,0,IF(M26="","saisir capacité",K26*P26*VLOOKUP(J26,Paramétrage!$D$6:$F$29,2,0))))</f>
        <v>0</v>
      </c>
      <c r="R26" s="721"/>
      <c r="S26" s="467">
        <f t="shared" si="5"/>
        <v>0</v>
      </c>
      <c r="T26" s="471">
        <f>IF(J26="",0,IF(ISERROR(R26+Q26*VLOOKUP(J26,Paramétrage!$D$6:$F$29,3,0))=TRUE,S26,R26+Q26*VLOOKUP(J26,Paramétrage!$D$6:$F$29,3,0)))</f>
        <v>0</v>
      </c>
      <c r="U26" s="580"/>
      <c r="V26" s="467">
        <f t="shared" si="6"/>
        <v>0</v>
      </c>
      <c r="W26" s="471">
        <f>IF(J26="",0,IF(ISERROR(U26+Q26*VLOOKUP(J26,Paramétrage!$D$6:$F$29,3,0))=TRUE,V26,U26+Q26*VLOOKUP(J26,Paramétrage!$D$6:$F$29,3,0)))</f>
        <v>0</v>
      </c>
      <c r="X26" s="585"/>
      <c r="Y26" s="581"/>
      <c r="Z26" s="581"/>
      <c r="AA26" s="581"/>
      <c r="AB26" s="472">
        <f t="shared" si="1"/>
        <v>0</v>
      </c>
      <c r="AC26" s="588"/>
      <c r="AD26" s="588"/>
      <c r="AE26" s="588"/>
      <c r="AF26" s="588"/>
      <c r="AG26" s="472">
        <f t="shared" si="2"/>
        <v>0</v>
      </c>
      <c r="AH26" s="815"/>
      <c r="AI26" s="815"/>
      <c r="AJ26" s="816"/>
      <c r="AK26" s="473" t="e">
        <f>VLOOKUP(G26,Paramétrage!$L$6:$M$12,2,0)</f>
        <v>#N/A</v>
      </c>
      <c r="AL26" s="712">
        <f t="shared" si="3"/>
        <v>0</v>
      </c>
      <c r="AM26" s="473">
        <f t="shared" si="4"/>
        <v>0</v>
      </c>
    </row>
    <row r="27" spans="1:39" x14ac:dyDescent="0.25">
      <c r="A27" s="822"/>
      <c r="B27" s="738"/>
      <c r="C27" s="739"/>
      <c r="D27" s="740"/>
      <c r="E27" s="595"/>
      <c r="F27" s="614"/>
      <c r="G27" s="596"/>
      <c r="H27" s="597"/>
      <c r="I27" s="599"/>
      <c r="J27" s="581"/>
      <c r="K27" s="600"/>
      <c r="L27" s="603"/>
      <c r="M27" s="588"/>
      <c r="N27" s="601"/>
      <c r="O27" s="602"/>
      <c r="P27" s="715">
        <f>IF(OR(M27="",J27=Paramétrage!$D$9,J27=Paramétrage!$D$12,J27=Paramétrage!$D$15,J27=Paramétrage!$D$18,J27=Paramétrage!$D$22,J27=Paramétrage!$D$25,AND(J27&lt;&gt;Paramétrage!$D$9,N27="Mut+ext")),0,ROUNDUP(L27/M27,0))</f>
        <v>0</v>
      </c>
      <c r="Q27" s="728">
        <f>IF(OR(J27="",N27="Mut+ext"),0,IF(VLOOKUP(J27,Paramétrage!$D$6:$F$29,3,0)=0,0,IF(M27="","saisir capacité",K27*P27*VLOOKUP(J27,Paramétrage!$D$6:$F$29,2,0))))</f>
        <v>0</v>
      </c>
      <c r="R27" s="721"/>
      <c r="S27" s="467">
        <f t="shared" si="5"/>
        <v>0</v>
      </c>
      <c r="T27" s="471">
        <f>IF(J27="",0,IF(ISERROR(R27+Q27*VLOOKUP(J27,Paramétrage!$D$6:$F$29,3,0))=TRUE,S27,R27+Q27*VLOOKUP(J27,Paramétrage!$D$6:$F$29,3,0)))</f>
        <v>0</v>
      </c>
      <c r="U27" s="580"/>
      <c r="V27" s="467">
        <f t="shared" si="6"/>
        <v>0</v>
      </c>
      <c r="W27" s="471">
        <f>IF(J27="",0,IF(ISERROR(U27+Q27*VLOOKUP(J27,Paramétrage!$D$6:$F$29,3,0))=TRUE,V27,U27+Q27*VLOOKUP(J27,Paramétrage!$D$6:$F$29,3,0)))</f>
        <v>0</v>
      </c>
      <c r="X27" s="585"/>
      <c r="Y27" s="581"/>
      <c r="Z27" s="581"/>
      <c r="AA27" s="581"/>
      <c r="AB27" s="472">
        <f t="shared" si="1"/>
        <v>0</v>
      </c>
      <c r="AC27" s="588"/>
      <c r="AD27" s="588"/>
      <c r="AE27" s="588"/>
      <c r="AF27" s="588"/>
      <c r="AG27" s="472">
        <f t="shared" si="2"/>
        <v>0</v>
      </c>
      <c r="AH27" s="815"/>
      <c r="AI27" s="815"/>
      <c r="AJ27" s="816"/>
      <c r="AK27" s="473" t="e">
        <f>VLOOKUP(G27,Paramétrage!$L$6:$M$12,2,0)</f>
        <v>#N/A</v>
      </c>
      <c r="AL27" s="712">
        <f t="shared" si="3"/>
        <v>0</v>
      </c>
      <c r="AM27" s="473">
        <f t="shared" si="4"/>
        <v>0</v>
      </c>
    </row>
    <row r="28" spans="1:39" x14ac:dyDescent="0.25">
      <c r="A28" s="822"/>
      <c r="B28" s="738"/>
      <c r="C28" s="739"/>
      <c r="D28" s="740"/>
      <c r="E28" s="595"/>
      <c r="F28" s="614"/>
      <c r="G28" s="596"/>
      <c r="H28" s="597"/>
      <c r="I28" s="599"/>
      <c r="J28" s="581"/>
      <c r="K28" s="600"/>
      <c r="L28" s="603"/>
      <c r="M28" s="588"/>
      <c r="N28" s="601"/>
      <c r="O28" s="602"/>
      <c r="P28" s="715">
        <f>IF(OR(M28="",J28=Paramétrage!$D$9,J28=Paramétrage!$D$12,J28=Paramétrage!$D$15,J28=Paramétrage!$D$18,J28=Paramétrage!$D$22,J28=Paramétrage!$D$25,AND(J28&lt;&gt;Paramétrage!$D$9,N28="Mut+ext")),0,ROUNDUP(L28/M28,0))</f>
        <v>0</v>
      </c>
      <c r="Q28" s="728">
        <f>IF(OR(J28="",N28="Mut+ext"),0,IF(VLOOKUP(J28,Paramétrage!$D$6:$F$29,3,0)=0,0,IF(M28="","saisir capacité",K28*P28*VLOOKUP(J28,Paramétrage!$D$6:$F$29,2,0))))</f>
        <v>0</v>
      </c>
      <c r="R28" s="721"/>
      <c r="S28" s="467">
        <f t="shared" si="5"/>
        <v>0</v>
      </c>
      <c r="T28" s="471">
        <f>IF(J28="",0,IF(ISERROR(R28+Q28*VLOOKUP(J28,Paramétrage!$D$6:$F$29,3,0))=TRUE,S28,R28+Q28*VLOOKUP(J28,Paramétrage!$D$6:$F$29,3,0)))</f>
        <v>0</v>
      </c>
      <c r="U28" s="580"/>
      <c r="V28" s="467">
        <f t="shared" si="6"/>
        <v>0</v>
      </c>
      <c r="W28" s="471">
        <f>IF(J28="",0,IF(ISERROR(U28+Q28*VLOOKUP(J28,Paramétrage!$D$6:$F$29,3,0))=TRUE,V28,U28+Q28*VLOOKUP(J28,Paramétrage!$D$6:$F$29,3,0)))</f>
        <v>0</v>
      </c>
      <c r="X28" s="585"/>
      <c r="Y28" s="581"/>
      <c r="Z28" s="581"/>
      <c r="AA28" s="581"/>
      <c r="AB28" s="472">
        <f t="shared" si="1"/>
        <v>0</v>
      </c>
      <c r="AC28" s="588"/>
      <c r="AD28" s="588"/>
      <c r="AE28" s="588"/>
      <c r="AF28" s="588"/>
      <c r="AG28" s="472">
        <f t="shared" si="2"/>
        <v>0</v>
      </c>
      <c r="AH28" s="815"/>
      <c r="AI28" s="815"/>
      <c r="AJ28" s="816"/>
      <c r="AK28" s="473" t="e">
        <f>VLOOKUP(G28,Paramétrage!$L$6:$M$12,2,0)</f>
        <v>#N/A</v>
      </c>
      <c r="AL28" s="712">
        <f t="shared" si="3"/>
        <v>0</v>
      </c>
      <c r="AM28" s="473">
        <f t="shared" si="4"/>
        <v>0</v>
      </c>
    </row>
    <row r="29" spans="1:39" x14ac:dyDescent="0.25">
      <c r="A29" s="822"/>
      <c r="B29" s="738"/>
      <c r="C29" s="739"/>
      <c r="D29" s="740"/>
      <c r="E29" s="595"/>
      <c r="F29" s="614"/>
      <c r="G29" s="596"/>
      <c r="H29" s="597"/>
      <c r="I29" s="599"/>
      <c r="J29" s="581"/>
      <c r="K29" s="600"/>
      <c r="L29" s="603"/>
      <c r="M29" s="588"/>
      <c r="N29" s="601"/>
      <c r="O29" s="602"/>
      <c r="P29" s="715">
        <f>IF(OR(M29="",J29=Paramétrage!$D$9,J29=Paramétrage!$D$12,J29=Paramétrage!$D$15,J29=Paramétrage!$D$18,J29=Paramétrage!$D$22,J29=Paramétrage!$D$25,AND(J29&lt;&gt;Paramétrage!$D$9,N29="Mut+ext")),0,ROUNDUP(L29/M29,0))</f>
        <v>0</v>
      </c>
      <c r="Q29" s="728">
        <f>IF(OR(J29="",N29="Mut+ext"),0,IF(VLOOKUP(J29,Paramétrage!$D$6:$F$29,3,0)=0,0,IF(M29="","saisir capacité",K29*P29*VLOOKUP(J29,Paramétrage!$D$6:$F$29,2,0))))</f>
        <v>0</v>
      </c>
      <c r="R29" s="721"/>
      <c r="S29" s="467">
        <f t="shared" si="5"/>
        <v>0</v>
      </c>
      <c r="T29" s="471">
        <f>IF(J29="",0,IF(ISERROR(R29+Q29*VLOOKUP(J29,Paramétrage!$D$6:$F$29,3,0))=TRUE,S29,R29+Q29*VLOOKUP(J29,Paramétrage!$D$6:$F$29,3,0)))</f>
        <v>0</v>
      </c>
      <c r="U29" s="580"/>
      <c r="V29" s="467">
        <f t="shared" si="6"/>
        <v>0</v>
      </c>
      <c r="W29" s="471">
        <f>IF(J29="",0,IF(ISERROR(U29+Q29*VLOOKUP(J29,Paramétrage!$D$6:$F$29,3,0))=TRUE,V29,U29+Q29*VLOOKUP(J29,Paramétrage!$D$6:$F$29,3,0)))</f>
        <v>0</v>
      </c>
      <c r="X29" s="585"/>
      <c r="Y29" s="581"/>
      <c r="Z29" s="581"/>
      <c r="AA29" s="581"/>
      <c r="AB29" s="472">
        <f t="shared" si="1"/>
        <v>0</v>
      </c>
      <c r="AC29" s="588"/>
      <c r="AD29" s="588"/>
      <c r="AE29" s="588"/>
      <c r="AF29" s="588"/>
      <c r="AG29" s="472">
        <f t="shared" si="2"/>
        <v>0</v>
      </c>
      <c r="AH29" s="815"/>
      <c r="AI29" s="815"/>
      <c r="AJ29" s="816"/>
      <c r="AK29" s="473" t="e">
        <f>VLOOKUP(G29,Paramétrage!$L$6:$M$12,2,0)</f>
        <v>#N/A</v>
      </c>
      <c r="AL29" s="712">
        <f t="shared" si="3"/>
        <v>0</v>
      </c>
      <c r="AM29" s="473">
        <f t="shared" si="4"/>
        <v>0</v>
      </c>
    </row>
    <row r="30" spans="1:39" x14ac:dyDescent="0.25">
      <c r="A30" s="822"/>
      <c r="B30" s="738"/>
      <c r="C30" s="739"/>
      <c r="D30" s="740"/>
      <c r="E30" s="595"/>
      <c r="F30" s="614"/>
      <c r="G30" s="596"/>
      <c r="H30" s="597"/>
      <c r="I30" s="599"/>
      <c r="J30" s="581"/>
      <c r="K30" s="600"/>
      <c r="L30" s="603"/>
      <c r="M30" s="588"/>
      <c r="N30" s="601"/>
      <c r="O30" s="602"/>
      <c r="P30" s="715">
        <f>IF(OR(M30="",J30=Paramétrage!$D$9,J30=Paramétrage!$D$12,J30=Paramétrage!$D$15,J30=Paramétrage!$D$18,J30=Paramétrage!$D$22,J30=Paramétrage!$D$25,AND(J30&lt;&gt;Paramétrage!$D$9,N30="Mut+ext")),0,ROUNDUP(L30/M30,0))</f>
        <v>0</v>
      </c>
      <c r="Q30" s="728">
        <f>IF(OR(J30="",N30="Mut+ext"),0,IF(VLOOKUP(J30,Paramétrage!$D$6:$F$29,3,0)=0,0,IF(M30="","saisir capacité",K30*P30*VLOOKUP(J30,Paramétrage!$D$6:$F$29,2,0))))</f>
        <v>0</v>
      </c>
      <c r="R30" s="721"/>
      <c r="S30" s="467">
        <f>IF(OR(J30="",N30="Mut+ext"),0,IF(ISERROR(Q30+R30)=TRUE,Q30,Q30+R30))</f>
        <v>0</v>
      </c>
      <c r="T30" s="471">
        <f>IF(J30="",0,IF(ISERROR(R30+Q30*VLOOKUP(J30,Paramétrage!$D$6:$F$29,3,0))=TRUE,S30,R30+Q30*VLOOKUP(J30,Paramétrage!$D$6:$F$29,3,0)))</f>
        <v>0</v>
      </c>
      <c r="U30" s="580"/>
      <c r="V30" s="467">
        <f t="shared" si="6"/>
        <v>0</v>
      </c>
      <c r="W30" s="471">
        <f>IF(J30="",0,IF(ISERROR(U30+Q30*VLOOKUP(J30,Paramétrage!$D$6:$F$29,3,0))=TRUE,V30,U30+Q30*VLOOKUP(J30,Paramétrage!$D$6:$F$29,3,0)))</f>
        <v>0</v>
      </c>
      <c r="X30" s="585"/>
      <c r="Y30" s="581"/>
      <c r="Z30" s="581"/>
      <c r="AA30" s="581"/>
      <c r="AB30" s="472">
        <f t="shared" si="1"/>
        <v>0</v>
      </c>
      <c r="AC30" s="588"/>
      <c r="AD30" s="588"/>
      <c r="AE30" s="588"/>
      <c r="AF30" s="588"/>
      <c r="AG30" s="472">
        <f t="shared" si="2"/>
        <v>0</v>
      </c>
      <c r="AH30" s="815"/>
      <c r="AI30" s="815"/>
      <c r="AJ30" s="816"/>
      <c r="AK30" s="473" t="e">
        <f>VLOOKUP(G30,Paramétrage!$L$6:$M$12,2,0)</f>
        <v>#N/A</v>
      </c>
      <c r="AL30" s="712">
        <f t="shared" si="3"/>
        <v>0</v>
      </c>
      <c r="AM30" s="473">
        <f t="shared" si="4"/>
        <v>0</v>
      </c>
    </row>
    <row r="31" spans="1:39" x14ac:dyDescent="0.25">
      <c r="A31" s="822"/>
      <c r="B31" s="738"/>
      <c r="C31" s="739"/>
      <c r="D31" s="740"/>
      <c r="E31" s="595"/>
      <c r="F31" s="614"/>
      <c r="G31" s="598"/>
      <c r="H31" s="597"/>
      <c r="I31" s="599"/>
      <c r="J31" s="581"/>
      <c r="K31" s="600"/>
      <c r="L31" s="603"/>
      <c r="M31" s="588"/>
      <c r="N31" s="601"/>
      <c r="O31" s="602"/>
      <c r="P31" s="715">
        <f>IF(OR(M31="",J31=Paramétrage!$D$9,J31=Paramétrage!$D$12,J31=Paramétrage!$D$15,J31=Paramétrage!$D$18,J31=Paramétrage!$D$22,J31=Paramétrage!$D$25,AND(J31&lt;&gt;Paramétrage!$D$9,N31="Mut+ext")),0,ROUNDUP(L31/M31,0))</f>
        <v>0</v>
      </c>
      <c r="Q31" s="728">
        <f>IF(OR(J31="",N31="Mut+ext"),0,IF(VLOOKUP(J31,Paramétrage!$D$6:$F$29,3,0)=0,0,IF(M31="","saisir capacité",K31*P31*VLOOKUP(J31,Paramétrage!$D$6:$F$29,2,0))))</f>
        <v>0</v>
      </c>
      <c r="R31" s="721"/>
      <c r="S31" s="467">
        <f t="shared" si="5"/>
        <v>0</v>
      </c>
      <c r="T31" s="471">
        <f>IF(J31="",0,IF(ISERROR(R31+Q31*VLOOKUP(J31,Paramétrage!$D$6:$F$29,3,0))=TRUE,S31,R31+Q31*VLOOKUP(J31,Paramétrage!$D$6:$F$29,3,0)))</f>
        <v>0</v>
      </c>
      <c r="U31" s="580"/>
      <c r="V31" s="467">
        <f t="shared" si="6"/>
        <v>0</v>
      </c>
      <c r="W31" s="471">
        <f>IF(J31="",0,IF(ISERROR(U31+Q31*VLOOKUP(J31,Paramétrage!$D$6:$F$29,3,0))=TRUE,V31,U31+Q31*VLOOKUP(J31,Paramétrage!$D$6:$F$29,3,0)))</f>
        <v>0</v>
      </c>
      <c r="X31" s="585"/>
      <c r="Y31" s="581"/>
      <c r="Z31" s="581"/>
      <c r="AA31" s="581"/>
      <c r="AB31" s="472">
        <f t="shared" si="1"/>
        <v>0</v>
      </c>
      <c r="AC31" s="588"/>
      <c r="AD31" s="588"/>
      <c r="AE31" s="588"/>
      <c r="AF31" s="588"/>
      <c r="AG31" s="472">
        <f t="shared" si="2"/>
        <v>0</v>
      </c>
      <c r="AH31" s="815"/>
      <c r="AI31" s="815"/>
      <c r="AJ31" s="816"/>
      <c r="AK31" s="473" t="e">
        <f>VLOOKUP(G31,Paramétrage!$L$6:$M$12,2,0)</f>
        <v>#N/A</v>
      </c>
      <c r="AL31" s="712">
        <f t="shared" si="3"/>
        <v>0</v>
      </c>
      <c r="AM31" s="473">
        <f t="shared" si="4"/>
        <v>0</v>
      </c>
    </row>
    <row r="32" spans="1:39" x14ac:dyDescent="0.25">
      <c r="A32" s="822"/>
      <c r="B32" s="738"/>
      <c r="C32" s="739"/>
      <c r="D32" s="740"/>
      <c r="E32" s="595"/>
      <c r="F32" s="614"/>
      <c r="G32" s="598"/>
      <c r="H32" s="597"/>
      <c r="I32" s="599"/>
      <c r="J32" s="581"/>
      <c r="K32" s="600"/>
      <c r="L32" s="603"/>
      <c r="M32" s="588"/>
      <c r="N32" s="601"/>
      <c r="O32" s="602"/>
      <c r="P32" s="715">
        <f>IF(OR(M32="",J32=Paramétrage!$D$9,J32=Paramétrage!$D$12,J32=Paramétrage!$D$15,J32=Paramétrage!$D$18,J32=Paramétrage!$D$22,J32=Paramétrage!$D$25,AND(J32&lt;&gt;Paramétrage!$D$9,N32="Mut+ext")),0,ROUNDUP(L32/M32,0))</f>
        <v>0</v>
      </c>
      <c r="Q32" s="728">
        <f>IF(OR(J32="",N32="Mut+ext"),0,IF(VLOOKUP(J32,Paramétrage!$D$6:$F$29,3,0)=0,0,IF(M32="","saisir capacité",K32*P32*VLOOKUP(J32,Paramétrage!$D$6:$F$29,2,0))))</f>
        <v>0</v>
      </c>
      <c r="R32" s="721"/>
      <c r="S32" s="467">
        <f t="shared" si="5"/>
        <v>0</v>
      </c>
      <c r="T32" s="471">
        <f>IF(J32="",0,IF(ISERROR(R32+Q32*VLOOKUP(J32,Paramétrage!$D$6:$F$29,3,0))=TRUE,S32,R32+Q32*VLOOKUP(J32,Paramétrage!$D$6:$F$29,3,0)))</f>
        <v>0</v>
      </c>
      <c r="U32" s="580"/>
      <c r="V32" s="467">
        <f t="shared" si="6"/>
        <v>0</v>
      </c>
      <c r="W32" s="471">
        <f>IF(J32="",0,IF(ISERROR(U32+Q32*VLOOKUP(J32,Paramétrage!$D$6:$F$29,3,0))=TRUE,V32,U32+Q32*VLOOKUP(J32,Paramétrage!$D$6:$F$29,3,0)))</f>
        <v>0</v>
      </c>
      <c r="X32" s="585"/>
      <c r="Y32" s="581"/>
      <c r="Z32" s="581"/>
      <c r="AA32" s="581"/>
      <c r="AB32" s="472">
        <f t="shared" si="1"/>
        <v>0</v>
      </c>
      <c r="AC32" s="588"/>
      <c r="AD32" s="588"/>
      <c r="AE32" s="588"/>
      <c r="AF32" s="588"/>
      <c r="AG32" s="472">
        <f t="shared" si="2"/>
        <v>0</v>
      </c>
      <c r="AH32" s="815"/>
      <c r="AI32" s="815"/>
      <c r="AJ32" s="816"/>
      <c r="AK32" s="473" t="e">
        <f>VLOOKUP(G32,Paramétrage!$L$6:$M$12,2,0)</f>
        <v>#N/A</v>
      </c>
      <c r="AL32" s="712">
        <f t="shared" si="3"/>
        <v>0</v>
      </c>
      <c r="AM32" s="473">
        <f t="shared" si="4"/>
        <v>0</v>
      </c>
    </row>
    <row r="33" spans="1:39" x14ac:dyDescent="0.25">
      <c r="A33" s="822"/>
      <c r="B33" s="738"/>
      <c r="C33" s="739"/>
      <c r="D33" s="740"/>
      <c r="E33" s="595"/>
      <c r="F33" s="614"/>
      <c r="G33" s="598"/>
      <c r="H33" s="597"/>
      <c r="I33" s="599"/>
      <c r="J33" s="581"/>
      <c r="K33" s="600"/>
      <c r="L33" s="603"/>
      <c r="M33" s="588"/>
      <c r="N33" s="601"/>
      <c r="O33" s="602"/>
      <c r="P33" s="715">
        <f>IF(OR(M33="",J33=Paramétrage!$D$9,J33=Paramétrage!$D$12,J33=Paramétrage!$D$15,J33=Paramétrage!$D$18,J33=Paramétrage!$D$22,J33=Paramétrage!$D$25,AND(J33&lt;&gt;Paramétrage!$D$9,N33="Mut+ext")),0,ROUNDUP(L33/M33,0))</f>
        <v>0</v>
      </c>
      <c r="Q33" s="728">
        <f>IF(OR(J33="",N33="Mut+ext"),0,IF(VLOOKUP(J33,Paramétrage!$D$6:$F$29,3,0)=0,0,IF(M33="","saisir capacité",K33*P33*VLOOKUP(J33,Paramétrage!$D$6:$F$29,2,0))))</f>
        <v>0</v>
      </c>
      <c r="R33" s="721"/>
      <c r="S33" s="467">
        <f t="shared" si="5"/>
        <v>0</v>
      </c>
      <c r="T33" s="471">
        <f>IF(J33="",0,IF(ISERROR(R33+Q33*VLOOKUP(J33,Paramétrage!$D$6:$F$29,3,0))=TRUE,S33,R33+Q33*VLOOKUP(J33,Paramétrage!$D$6:$F$29,3,0)))</f>
        <v>0</v>
      </c>
      <c r="U33" s="580"/>
      <c r="V33" s="467">
        <f t="shared" si="6"/>
        <v>0</v>
      </c>
      <c r="W33" s="471">
        <f>IF(J33="",0,IF(ISERROR(U33+Q33*VLOOKUP(J33,Paramétrage!$D$6:$F$29,3,0))=TRUE,V33,U33+Q33*VLOOKUP(J33,Paramétrage!$D$6:$F$29,3,0)))</f>
        <v>0</v>
      </c>
      <c r="X33" s="585"/>
      <c r="Y33" s="581"/>
      <c r="Z33" s="581"/>
      <c r="AA33" s="581"/>
      <c r="AB33" s="472">
        <f t="shared" si="1"/>
        <v>0</v>
      </c>
      <c r="AC33" s="588"/>
      <c r="AD33" s="588"/>
      <c r="AE33" s="588"/>
      <c r="AF33" s="588"/>
      <c r="AG33" s="472">
        <f t="shared" si="2"/>
        <v>0</v>
      </c>
      <c r="AH33" s="815"/>
      <c r="AI33" s="815"/>
      <c r="AJ33" s="816"/>
      <c r="AK33" s="473" t="e">
        <f>VLOOKUP(G33,Paramétrage!$L$6:$M$12,2,0)</f>
        <v>#N/A</v>
      </c>
      <c r="AL33" s="712">
        <f t="shared" si="3"/>
        <v>0</v>
      </c>
      <c r="AM33" s="473">
        <f t="shared" si="4"/>
        <v>0</v>
      </c>
    </row>
    <row r="34" spans="1:39" x14ac:dyDescent="0.25">
      <c r="A34" s="822"/>
      <c r="B34" s="738"/>
      <c r="C34" s="739"/>
      <c r="D34" s="740"/>
      <c r="E34" s="595"/>
      <c r="F34" s="615"/>
      <c r="G34" s="616"/>
      <c r="H34" s="597"/>
      <c r="I34" s="599"/>
      <c r="J34" s="581"/>
      <c r="K34" s="600"/>
      <c r="L34" s="603"/>
      <c r="M34" s="588"/>
      <c r="N34" s="601"/>
      <c r="O34" s="602"/>
      <c r="P34" s="715">
        <f>IF(OR(M34="",J34=Paramétrage!$D$9,J34=Paramétrage!$D$12,J34=Paramétrage!$D$15,J34=Paramétrage!$D$18,J34=Paramétrage!$D$22,J34=Paramétrage!$D$25,AND(J34&lt;&gt;Paramétrage!$D$9,N34="Mut+ext")),0,ROUNDUP(L34/M34,0))</f>
        <v>0</v>
      </c>
      <c r="Q34" s="728">
        <f>IF(OR(J34="",N34="Mut+ext"),0,IF(VLOOKUP(J34,Paramétrage!$D$6:$F$29,3,0)=0,0,IF(M34="","saisir capacité",K34*P34*VLOOKUP(J34,Paramétrage!$D$6:$F$29,2,0))))</f>
        <v>0</v>
      </c>
      <c r="R34" s="721"/>
      <c r="S34" s="467">
        <f t="shared" si="5"/>
        <v>0</v>
      </c>
      <c r="T34" s="471">
        <f>IF(J34="",0,IF(ISERROR(R34+Q34*VLOOKUP(J34,Paramétrage!$D$6:$F$29,3,0))=TRUE,S34,R34+Q34*VLOOKUP(J34,Paramétrage!$D$6:$F$29,3,0)))</f>
        <v>0</v>
      </c>
      <c r="U34" s="580"/>
      <c r="V34" s="467">
        <f t="shared" si="6"/>
        <v>0</v>
      </c>
      <c r="W34" s="471">
        <f>IF(J34="",0,IF(ISERROR(U34+Q34*VLOOKUP(J34,Paramétrage!$D$6:$F$29,3,0))=TRUE,V34,U34+Q34*VLOOKUP(J34,Paramétrage!$D$6:$F$29,3,0)))</f>
        <v>0</v>
      </c>
      <c r="X34" s="585"/>
      <c r="Y34" s="581"/>
      <c r="Z34" s="581"/>
      <c r="AA34" s="581"/>
      <c r="AB34" s="472">
        <f t="shared" si="1"/>
        <v>0</v>
      </c>
      <c r="AC34" s="588"/>
      <c r="AD34" s="588"/>
      <c r="AE34" s="588"/>
      <c r="AF34" s="588"/>
      <c r="AG34" s="472">
        <f t="shared" si="2"/>
        <v>0</v>
      </c>
      <c r="AH34" s="815"/>
      <c r="AI34" s="815"/>
      <c r="AJ34" s="816"/>
      <c r="AK34" s="473" t="e">
        <f>VLOOKUP(G34,Paramétrage!$L$6:$M$12,2,0)</f>
        <v>#N/A</v>
      </c>
      <c r="AL34" s="712">
        <f t="shared" si="3"/>
        <v>0</v>
      </c>
      <c r="AM34" s="473">
        <f t="shared" si="4"/>
        <v>0</v>
      </c>
    </row>
    <row r="35" spans="1:39" x14ac:dyDescent="0.25">
      <c r="A35" s="822"/>
      <c r="B35" s="738"/>
      <c r="C35" s="739"/>
      <c r="D35" s="740"/>
      <c r="E35" s="585"/>
      <c r="F35" s="597"/>
      <c r="G35" s="616"/>
      <c r="H35" s="597"/>
      <c r="I35" s="599"/>
      <c r="J35" s="581"/>
      <c r="K35" s="600"/>
      <c r="L35" s="603"/>
      <c r="M35" s="588"/>
      <c r="N35" s="601"/>
      <c r="O35" s="602"/>
      <c r="P35" s="715">
        <f>IF(OR(M35="",J35=Paramétrage!$D$9,J35=Paramétrage!$D$12,J35=Paramétrage!$D$15,J35=Paramétrage!$D$18,J35=Paramétrage!$D$22,J35=Paramétrage!$D$25,AND(J35&lt;&gt;Paramétrage!$D$9,N35="Mut+ext")),0,ROUNDUP(L35/M35,0))</f>
        <v>0</v>
      </c>
      <c r="Q35" s="728">
        <f>IF(OR(J35="",N35="Mut+ext"),0,IF(VLOOKUP(J35,Paramétrage!$D$6:$F$29,3,0)=0,0,IF(M35="","saisir capacité",K35*P35*VLOOKUP(J35,Paramétrage!$D$6:$F$29,2,0))))</f>
        <v>0</v>
      </c>
      <c r="R35" s="721"/>
      <c r="S35" s="467">
        <f t="shared" si="5"/>
        <v>0</v>
      </c>
      <c r="T35" s="471">
        <f>IF(J35="",0,IF(ISERROR(R35+Q35*VLOOKUP(J35,Paramétrage!$D$6:$F$29,3,0))=TRUE,S35,R35+Q35*VLOOKUP(J35,Paramétrage!$D$6:$F$29,3,0)))</f>
        <v>0</v>
      </c>
      <c r="U35" s="580"/>
      <c r="V35" s="467">
        <f t="shared" si="6"/>
        <v>0</v>
      </c>
      <c r="W35" s="471">
        <f>IF(J35="",0,IF(ISERROR(U35+Q35*VLOOKUP(J35,Paramétrage!$D$6:$F$29,3,0))=TRUE,V35,U35+Q35*VLOOKUP(J35,Paramétrage!$D$6:$F$29,3,0)))</f>
        <v>0</v>
      </c>
      <c r="X35" s="585"/>
      <c r="Y35" s="581"/>
      <c r="Z35" s="581"/>
      <c r="AA35" s="581"/>
      <c r="AB35" s="472">
        <f t="shared" si="1"/>
        <v>0</v>
      </c>
      <c r="AC35" s="588"/>
      <c r="AD35" s="588"/>
      <c r="AE35" s="588"/>
      <c r="AF35" s="588"/>
      <c r="AG35" s="472">
        <f t="shared" si="2"/>
        <v>0</v>
      </c>
      <c r="AH35" s="815"/>
      <c r="AI35" s="815"/>
      <c r="AJ35" s="816"/>
      <c r="AK35" s="473" t="e">
        <f>VLOOKUP(G35,Paramétrage!$L$6:$M$12,2,0)</f>
        <v>#N/A</v>
      </c>
      <c r="AL35" s="712">
        <f t="shared" si="3"/>
        <v>0</v>
      </c>
      <c r="AM35" s="473">
        <f t="shared" si="4"/>
        <v>0</v>
      </c>
    </row>
    <row r="36" spans="1:39" x14ac:dyDescent="0.25">
      <c r="A36" s="822"/>
      <c r="B36" s="738"/>
      <c r="C36" s="739"/>
      <c r="D36" s="740"/>
      <c r="E36" s="585"/>
      <c r="F36" s="596"/>
      <c r="G36" s="616"/>
      <c r="H36" s="596"/>
      <c r="I36" s="599"/>
      <c r="J36" s="581"/>
      <c r="K36" s="617"/>
      <c r="L36" s="603"/>
      <c r="M36" s="588"/>
      <c r="N36" s="601"/>
      <c r="O36" s="602"/>
      <c r="P36" s="715">
        <f>IF(OR(M36="",J36=Paramétrage!$D$9,J36=Paramétrage!$D$12,J36=Paramétrage!$D$15,J36=Paramétrage!$D$18,J36=Paramétrage!$D$22,J36=Paramétrage!$D$25,AND(J36&lt;&gt;Paramétrage!$D$9,N36="Mut+ext")),0,ROUNDUP(L36/M36,0))</f>
        <v>0</v>
      </c>
      <c r="Q36" s="728">
        <f>IF(OR(J36="",N36="Mut+ext"),0,IF(VLOOKUP(J36,Paramétrage!$D$6:$F$29,3,0)=0,0,IF(M36="","saisir capacité",K36*P36*VLOOKUP(J36,Paramétrage!$D$6:$F$29,2,0))))</f>
        <v>0</v>
      </c>
      <c r="R36" s="608"/>
      <c r="S36" s="474">
        <f t="shared" si="5"/>
        <v>0</v>
      </c>
      <c r="T36" s="475">
        <f>IF(J36="",0,IF(ISERROR(R36+Q36*VLOOKUP(J36,Paramétrage!$D$6:$F$29,3,0))=TRUE,S36,R36+Q36*VLOOKUP(J36,Paramétrage!$D$6:$F$29,3,0)))</f>
        <v>0</v>
      </c>
      <c r="U36" s="581"/>
      <c r="V36" s="474">
        <f t="shared" si="6"/>
        <v>0</v>
      </c>
      <c r="W36" s="475">
        <f>IF(J36="",0,IF(ISERROR(U36+Q36*VLOOKUP(J36,Paramétrage!$D$6:$F$29,3,0))=TRUE,V36,U36+Q36*VLOOKUP(J36,Paramétrage!$D$6:$F$29,3,0)))</f>
        <v>0</v>
      </c>
      <c r="X36" s="585"/>
      <c r="Y36" s="581"/>
      <c r="Z36" s="581"/>
      <c r="AA36" s="581"/>
      <c r="AB36" s="472">
        <f t="shared" si="1"/>
        <v>0</v>
      </c>
      <c r="AC36" s="588"/>
      <c r="AD36" s="588"/>
      <c r="AE36" s="588"/>
      <c r="AF36" s="588"/>
      <c r="AG36" s="472">
        <f t="shared" si="2"/>
        <v>0</v>
      </c>
      <c r="AH36" s="815"/>
      <c r="AI36" s="815"/>
      <c r="AJ36" s="816"/>
      <c r="AK36" s="473" t="e">
        <f>VLOOKUP(G36,Paramétrage!$L$6:$M$12,2,0)</f>
        <v>#N/A</v>
      </c>
      <c r="AL36" s="712">
        <f t="shared" si="3"/>
        <v>0</v>
      </c>
      <c r="AM36" s="476">
        <f t="shared" si="4"/>
        <v>0</v>
      </c>
    </row>
    <row r="37" spans="1:39" x14ac:dyDescent="0.25">
      <c r="A37" s="822"/>
      <c r="B37" s="738"/>
      <c r="C37" s="739"/>
      <c r="D37" s="740"/>
      <c r="E37" s="585"/>
      <c r="F37" s="618"/>
      <c r="G37" s="597"/>
      <c r="H37" s="619"/>
      <c r="I37" s="620"/>
      <c r="J37" s="621"/>
      <c r="K37" s="622"/>
      <c r="L37" s="603"/>
      <c r="M37" s="623"/>
      <c r="N37" s="601"/>
      <c r="O37" s="610"/>
      <c r="P37" s="715">
        <f>IF(OR(M37="",J37=Paramétrage!$D$9,J37=Paramétrage!$D$12,J37=Paramétrage!$D$15,J37=Paramétrage!$D$18,J37=Paramétrage!$D$22,J37=Paramétrage!$D$25,AND(J37&lt;&gt;Paramétrage!$D$9,N37="Mut+ext")),0,ROUNDUP(L37/M37,0))</f>
        <v>0</v>
      </c>
      <c r="Q37" s="728">
        <f>IF(OR(J37="",N37="Mut+ext"),0,IF(VLOOKUP(J37,Paramétrage!$D$6:$F$29,3,0)=0,0,IF(M37="","saisir capacité",K37*P37*VLOOKUP(J37,Paramétrage!$D$6:$F$29,2,0))))</f>
        <v>0</v>
      </c>
      <c r="R37" s="722"/>
      <c r="S37" s="467">
        <f t="shared" si="5"/>
        <v>0</v>
      </c>
      <c r="T37" s="471">
        <f>IF(J37="",0,IF(ISERROR(R37+Q37*VLOOKUP(J37,Paramétrage!$D$6:$F$29,3,0))=TRUE,S37,R37+Q37*VLOOKUP(J37,Paramétrage!$D$6:$F$29,3,0)))</f>
        <v>0</v>
      </c>
      <c r="U37" s="582"/>
      <c r="V37" s="467">
        <f t="shared" si="6"/>
        <v>0</v>
      </c>
      <c r="W37" s="471">
        <f>IF(J37="",0,IF(ISERROR(U37+Q37*VLOOKUP(J37,Paramétrage!$D$6:$F$29,3,0))=TRUE,V37,U37+Q37*VLOOKUP(J37,Paramétrage!$D$6:$F$29,3,0)))</f>
        <v>0</v>
      </c>
      <c r="X37" s="585"/>
      <c r="Y37" s="581"/>
      <c r="Z37" s="581"/>
      <c r="AA37" s="581"/>
      <c r="AB37" s="472">
        <f t="shared" si="1"/>
        <v>0</v>
      </c>
      <c r="AC37" s="588"/>
      <c r="AD37" s="588"/>
      <c r="AE37" s="588"/>
      <c r="AF37" s="588"/>
      <c r="AG37" s="472">
        <f t="shared" si="2"/>
        <v>0</v>
      </c>
      <c r="AH37" s="817"/>
      <c r="AI37" s="817"/>
      <c r="AJ37" s="818"/>
      <c r="AK37" s="473" t="e">
        <f>VLOOKUP(G37,Paramétrage!$L$6:$M$12,2,0)</f>
        <v>#N/A</v>
      </c>
      <c r="AL37" s="712">
        <f t="shared" si="3"/>
        <v>0</v>
      </c>
      <c r="AM37" s="477">
        <f t="shared" si="4"/>
        <v>0</v>
      </c>
    </row>
    <row r="38" spans="1:39" x14ac:dyDescent="0.25">
      <c r="A38" s="822"/>
      <c r="B38" s="738"/>
      <c r="C38" s="739"/>
      <c r="D38" s="740"/>
      <c r="E38" s="585"/>
      <c r="F38" s="596"/>
      <c r="G38" s="597"/>
      <c r="H38" s="598"/>
      <c r="I38" s="599"/>
      <c r="J38" s="581"/>
      <c r="K38" s="600"/>
      <c r="L38" s="603"/>
      <c r="M38" s="588"/>
      <c r="N38" s="601"/>
      <c r="O38" s="602"/>
      <c r="P38" s="715">
        <f>IF(OR(M38="",J38=Paramétrage!$D$9,J38=Paramétrage!$D$12,J38=Paramétrage!$D$15,J38=Paramétrage!$D$18,J38=Paramétrage!$D$22,J38=Paramétrage!$D$25,AND(J38&lt;&gt;Paramétrage!$D$9,N38="Mut+ext")),0,ROUNDUP(L38/M38,0))</f>
        <v>0</v>
      </c>
      <c r="Q38" s="728">
        <f>IF(OR(J38="",N38="Mut+ext"),0,IF(VLOOKUP(J38,Paramétrage!$D$6:$F$29,3,0)=0,0,IF(M38="","saisir capacité",K38*P38*VLOOKUP(J38,Paramétrage!$D$6:$F$29,2,0))))</f>
        <v>0</v>
      </c>
      <c r="R38" s="721"/>
      <c r="S38" s="467">
        <f t="shared" si="5"/>
        <v>0</v>
      </c>
      <c r="T38" s="471">
        <f>IF(J38="",0,IF(ISERROR(R38+Q38*VLOOKUP(J38,Paramétrage!$D$6:$F$29,3,0))=TRUE,S38,R38+Q38*VLOOKUP(J38,Paramétrage!$D$6:$F$29,3,0)))</f>
        <v>0</v>
      </c>
      <c r="U38" s="580"/>
      <c r="V38" s="467">
        <f t="shared" si="6"/>
        <v>0</v>
      </c>
      <c r="W38" s="471">
        <f>IF(J38="",0,IF(ISERROR(U38+Q38*VLOOKUP(J38,Paramétrage!$D$6:$F$29,3,0))=TRUE,V38,U38+Q38*VLOOKUP(J38,Paramétrage!$D$6:$F$29,3,0)))</f>
        <v>0</v>
      </c>
      <c r="X38" s="585"/>
      <c r="Y38" s="581"/>
      <c r="Z38" s="581"/>
      <c r="AA38" s="581"/>
      <c r="AB38" s="472">
        <f t="shared" si="1"/>
        <v>0</v>
      </c>
      <c r="AC38" s="588"/>
      <c r="AD38" s="588"/>
      <c r="AE38" s="588"/>
      <c r="AF38" s="588"/>
      <c r="AG38" s="472">
        <f t="shared" si="2"/>
        <v>0</v>
      </c>
      <c r="AH38" s="815"/>
      <c r="AI38" s="815"/>
      <c r="AJ38" s="816"/>
      <c r="AK38" s="473" t="e">
        <f>VLOOKUP(G38,Paramétrage!$L$6:$M$12,2,0)</f>
        <v>#N/A</v>
      </c>
      <c r="AL38" s="712">
        <f t="shared" si="3"/>
        <v>0</v>
      </c>
      <c r="AM38" s="473">
        <f t="shared" si="4"/>
        <v>0</v>
      </c>
    </row>
    <row r="39" spans="1:39" x14ac:dyDescent="0.25">
      <c r="A39" s="822"/>
      <c r="B39" s="738"/>
      <c r="C39" s="739"/>
      <c r="D39" s="740"/>
      <c r="E39" s="585"/>
      <c r="F39" s="596"/>
      <c r="G39" s="598"/>
      <c r="H39" s="597"/>
      <c r="I39" s="599"/>
      <c r="J39" s="581"/>
      <c r="K39" s="600"/>
      <c r="L39" s="603"/>
      <c r="M39" s="588"/>
      <c r="N39" s="601"/>
      <c r="O39" s="602"/>
      <c r="P39" s="715">
        <f>IF(OR(M39="",J39=Paramétrage!$D$9,J39=Paramétrage!$D$12,J39=Paramétrage!$D$15,J39=Paramétrage!$D$18,J39=Paramétrage!$D$22,J39=Paramétrage!$D$25,AND(J39&lt;&gt;Paramétrage!$D$9,N39="Mut+ext")),0,ROUNDUP(L39/M39,0))</f>
        <v>0</v>
      </c>
      <c r="Q39" s="728">
        <f>IF(OR(J39="",N39="Mut+ext"),0,IF(VLOOKUP(J39,Paramétrage!$D$6:$F$29,3,0)=0,0,IF(M39="","saisir capacité",K39*P39*VLOOKUP(J39,Paramétrage!$D$6:$F$29,2,0))))</f>
        <v>0</v>
      </c>
      <c r="R39" s="721"/>
      <c r="S39" s="467">
        <f t="shared" si="5"/>
        <v>0</v>
      </c>
      <c r="T39" s="471">
        <f>IF(J39="",0,IF(ISERROR(R39+Q39*VLOOKUP(J39,Paramétrage!$D$6:$F$29,3,0))=TRUE,S39,R39+Q39*VLOOKUP(J39,Paramétrage!$D$6:$F$29,3,0)))</f>
        <v>0</v>
      </c>
      <c r="U39" s="580"/>
      <c r="V39" s="467">
        <f t="shared" si="6"/>
        <v>0</v>
      </c>
      <c r="W39" s="471">
        <f>IF(J39="",0,IF(ISERROR(U39+Q39*VLOOKUP(J39,Paramétrage!$D$6:$F$29,3,0))=TRUE,V39,U39+Q39*VLOOKUP(J39,Paramétrage!$D$6:$F$29,3,0)))</f>
        <v>0</v>
      </c>
      <c r="X39" s="586"/>
      <c r="Y39" s="580"/>
      <c r="Z39" s="580"/>
      <c r="AA39" s="580"/>
      <c r="AB39" s="472">
        <f t="shared" si="1"/>
        <v>0</v>
      </c>
      <c r="AC39" s="589"/>
      <c r="AD39" s="589"/>
      <c r="AE39" s="589"/>
      <c r="AF39" s="589"/>
      <c r="AG39" s="472">
        <f t="shared" si="2"/>
        <v>0</v>
      </c>
      <c r="AH39" s="567"/>
      <c r="AI39" s="567"/>
      <c r="AJ39" s="568"/>
      <c r="AK39" s="473" t="e">
        <f>VLOOKUP(G39,Paramétrage!$L$6:$M$12,2,0)</f>
        <v>#N/A</v>
      </c>
      <c r="AL39" s="712">
        <f t="shared" si="3"/>
        <v>0</v>
      </c>
      <c r="AM39" s="473">
        <f t="shared" si="4"/>
        <v>0</v>
      </c>
    </row>
    <row r="40" spans="1:39" x14ac:dyDescent="0.25">
      <c r="A40" s="822"/>
      <c r="B40" s="738"/>
      <c r="C40" s="739"/>
      <c r="D40" s="740"/>
      <c r="E40" s="585"/>
      <c r="F40" s="596"/>
      <c r="G40" s="598"/>
      <c r="H40" s="597"/>
      <c r="I40" s="599"/>
      <c r="J40" s="581"/>
      <c r="K40" s="600"/>
      <c r="L40" s="603"/>
      <c r="M40" s="588"/>
      <c r="N40" s="601"/>
      <c r="O40" s="602"/>
      <c r="P40" s="715">
        <f>IF(OR(M40="",J40=Paramétrage!$D$9,J40=Paramétrage!$D$12,J40=Paramétrage!$D$15,J40=Paramétrage!$D$18,J40=Paramétrage!$D$22,J40=Paramétrage!$D$25,AND(J40&lt;&gt;Paramétrage!$D$9,N40="Mut+ext")),0,ROUNDUP(L40/M40,0))</f>
        <v>0</v>
      </c>
      <c r="Q40" s="728">
        <f>IF(OR(J40="",N40="Mut+ext"),0,IF(VLOOKUP(J40,Paramétrage!$D$6:$F$29,3,0)=0,0,IF(M40="","saisir capacité",K40*P40*VLOOKUP(J40,Paramétrage!$D$6:$F$29,2,0))))</f>
        <v>0</v>
      </c>
      <c r="R40" s="721"/>
      <c r="S40" s="467">
        <f t="shared" si="5"/>
        <v>0</v>
      </c>
      <c r="T40" s="471">
        <f>IF(J40="",0,IF(ISERROR(R40+Q40*VLOOKUP(J40,Paramétrage!$D$6:$F$29,3,0))=TRUE,S40,R40+Q40*VLOOKUP(J40,Paramétrage!$D$6:$F$29,3,0)))</f>
        <v>0</v>
      </c>
      <c r="U40" s="580"/>
      <c r="V40" s="467">
        <f t="shared" si="6"/>
        <v>0</v>
      </c>
      <c r="W40" s="471">
        <f>IF(J40="",0,IF(ISERROR(U40+Q40*VLOOKUP(J40,Paramétrage!$D$6:$F$29,3,0))=TRUE,V40,U40+Q40*VLOOKUP(J40,Paramétrage!$D$6:$F$29,3,0)))</f>
        <v>0</v>
      </c>
      <c r="X40" s="586"/>
      <c r="Y40" s="580"/>
      <c r="Z40" s="580"/>
      <c r="AA40" s="580"/>
      <c r="AB40" s="472">
        <f t="shared" si="1"/>
        <v>0</v>
      </c>
      <c r="AC40" s="589"/>
      <c r="AD40" s="589"/>
      <c r="AE40" s="589"/>
      <c r="AF40" s="589"/>
      <c r="AG40" s="472">
        <f t="shared" si="2"/>
        <v>0</v>
      </c>
      <c r="AH40" s="567"/>
      <c r="AI40" s="567"/>
      <c r="AJ40" s="568"/>
      <c r="AK40" s="473" t="e">
        <f>VLOOKUP(G40,Paramétrage!$L$6:$M$12,2,0)</f>
        <v>#N/A</v>
      </c>
      <c r="AL40" s="712">
        <f t="shared" si="3"/>
        <v>0</v>
      </c>
      <c r="AM40" s="473">
        <f t="shared" si="4"/>
        <v>0</v>
      </c>
    </row>
    <row r="41" spans="1:39" x14ac:dyDescent="0.25">
      <c r="A41" s="822"/>
      <c r="B41" s="738"/>
      <c r="C41" s="739"/>
      <c r="D41" s="740"/>
      <c r="E41" s="585"/>
      <c r="F41" s="596"/>
      <c r="G41" s="598"/>
      <c r="H41" s="597"/>
      <c r="I41" s="599"/>
      <c r="J41" s="581"/>
      <c r="K41" s="600"/>
      <c r="L41" s="603"/>
      <c r="M41" s="588"/>
      <c r="N41" s="601"/>
      <c r="O41" s="602"/>
      <c r="P41" s="715">
        <f>IF(OR(M41="",J41=Paramétrage!$D$9,J41=Paramétrage!$D$12,J41=Paramétrage!$D$15,J41=Paramétrage!$D$18,J41=Paramétrage!$D$22,J41=Paramétrage!$D$25,AND(J41&lt;&gt;Paramétrage!$D$9,N41="Mut+ext")),0,ROUNDUP(L41/M41,0))</f>
        <v>0</v>
      </c>
      <c r="Q41" s="728">
        <f>IF(OR(J41="",N41="Mut+ext"),0,IF(VLOOKUP(J41,Paramétrage!$D$6:$F$29,3,0)=0,0,IF(M41="","saisir capacité",K41*P41*VLOOKUP(J41,Paramétrage!$D$6:$F$29,2,0))))</f>
        <v>0</v>
      </c>
      <c r="R41" s="721"/>
      <c r="S41" s="467">
        <f t="shared" si="5"/>
        <v>0</v>
      </c>
      <c r="T41" s="471">
        <f>IF(J41="",0,IF(ISERROR(R41+Q41*VLOOKUP(J41,Paramétrage!$D$6:$F$29,3,0))=TRUE,S41,R41+Q41*VLOOKUP(J41,Paramétrage!$D$6:$F$29,3,0)))</f>
        <v>0</v>
      </c>
      <c r="U41" s="580"/>
      <c r="V41" s="467">
        <f t="shared" si="6"/>
        <v>0</v>
      </c>
      <c r="W41" s="471">
        <f>IF(J41="",0,IF(ISERROR(U41+Q41*VLOOKUP(J41,Paramétrage!$D$6:$F$29,3,0))=TRUE,V41,U41+Q41*VLOOKUP(J41,Paramétrage!$D$6:$F$29,3,0)))</f>
        <v>0</v>
      </c>
      <c r="X41" s="586"/>
      <c r="Y41" s="580"/>
      <c r="Z41" s="580"/>
      <c r="AA41" s="580"/>
      <c r="AB41" s="472">
        <f t="shared" si="1"/>
        <v>0</v>
      </c>
      <c r="AC41" s="589"/>
      <c r="AD41" s="589"/>
      <c r="AE41" s="589"/>
      <c r="AF41" s="589"/>
      <c r="AG41" s="472">
        <f t="shared" si="2"/>
        <v>0</v>
      </c>
      <c r="AH41" s="567"/>
      <c r="AI41" s="567"/>
      <c r="AJ41" s="568"/>
      <c r="AK41" s="473" t="e">
        <f>VLOOKUP(G41,Paramétrage!$L$6:$M$12,2,0)</f>
        <v>#N/A</v>
      </c>
      <c r="AL41" s="712">
        <f t="shared" si="3"/>
        <v>0</v>
      </c>
      <c r="AM41" s="473">
        <f t="shared" si="4"/>
        <v>0</v>
      </c>
    </row>
    <row r="42" spans="1:39" x14ac:dyDescent="0.25">
      <c r="A42" s="822"/>
      <c r="B42" s="738"/>
      <c r="C42" s="739"/>
      <c r="D42" s="740"/>
      <c r="E42" s="585"/>
      <c r="F42" s="596"/>
      <c r="G42" s="598"/>
      <c r="H42" s="597"/>
      <c r="I42" s="599"/>
      <c r="J42" s="581"/>
      <c r="K42" s="600"/>
      <c r="L42" s="603"/>
      <c r="M42" s="588"/>
      <c r="N42" s="601"/>
      <c r="O42" s="602"/>
      <c r="P42" s="715">
        <f>IF(OR(M42="",J42=Paramétrage!$D$9,J42=Paramétrage!$D$12,J42=Paramétrage!$D$15,J42=Paramétrage!$D$18,J42=Paramétrage!$D$22,J42=Paramétrage!$D$25,AND(J42&lt;&gt;Paramétrage!$D$9,N42="Mut+ext")),0,ROUNDUP(L42/M42,0))</f>
        <v>0</v>
      </c>
      <c r="Q42" s="728">
        <f>IF(OR(J42="",N42="Mut+ext"),0,IF(VLOOKUP(J42,Paramétrage!$D$6:$F$29,3,0)=0,0,IF(M42="","saisir capacité",K42*P42*VLOOKUP(J42,Paramétrage!$D$6:$F$29,2,0))))</f>
        <v>0</v>
      </c>
      <c r="R42" s="721"/>
      <c r="S42" s="467">
        <f t="shared" si="5"/>
        <v>0</v>
      </c>
      <c r="T42" s="471">
        <f>IF(J42="",0,IF(ISERROR(R42+Q42*VLOOKUP(J42,Paramétrage!$D$6:$F$29,3,0))=TRUE,S42,R42+Q42*VLOOKUP(J42,Paramétrage!$D$6:$F$29,3,0)))</f>
        <v>0</v>
      </c>
      <c r="U42" s="580"/>
      <c r="V42" s="467">
        <f t="shared" si="6"/>
        <v>0</v>
      </c>
      <c r="W42" s="471">
        <f>IF(J42="",0,IF(ISERROR(U42+Q42*VLOOKUP(J42,Paramétrage!$D$6:$F$29,3,0))=TRUE,V42,U42+Q42*VLOOKUP(J42,Paramétrage!$D$6:$F$29,3,0)))</f>
        <v>0</v>
      </c>
      <c r="X42" s="586"/>
      <c r="Y42" s="580"/>
      <c r="Z42" s="580"/>
      <c r="AA42" s="580"/>
      <c r="AB42" s="472">
        <f t="shared" si="1"/>
        <v>0</v>
      </c>
      <c r="AC42" s="589"/>
      <c r="AD42" s="589"/>
      <c r="AE42" s="589"/>
      <c r="AF42" s="589"/>
      <c r="AG42" s="472">
        <f t="shared" si="2"/>
        <v>0</v>
      </c>
      <c r="AH42" s="567"/>
      <c r="AI42" s="567"/>
      <c r="AJ42" s="568"/>
      <c r="AK42" s="473" t="e">
        <f>VLOOKUP(G42,Paramétrage!$L$6:$M$12,2,0)</f>
        <v>#N/A</v>
      </c>
      <c r="AL42" s="712">
        <f t="shared" si="3"/>
        <v>0</v>
      </c>
      <c r="AM42" s="473">
        <f t="shared" si="4"/>
        <v>0</v>
      </c>
    </row>
    <row r="43" spans="1:39" x14ac:dyDescent="0.25">
      <c r="A43" s="822"/>
      <c r="B43" s="738"/>
      <c r="C43" s="739"/>
      <c r="D43" s="740"/>
      <c r="E43" s="585"/>
      <c r="F43" s="596"/>
      <c r="G43" s="598"/>
      <c r="H43" s="597"/>
      <c r="I43" s="599"/>
      <c r="J43" s="581"/>
      <c r="K43" s="600"/>
      <c r="L43" s="603"/>
      <c r="M43" s="588"/>
      <c r="N43" s="601"/>
      <c r="O43" s="602"/>
      <c r="P43" s="715">
        <f>IF(OR(M43="",J43=Paramétrage!$D$9,J43=Paramétrage!$D$12,J43=Paramétrage!$D$15,J43=Paramétrage!$D$18,J43=Paramétrage!$D$22,J43=Paramétrage!$D$25,AND(J43&lt;&gt;Paramétrage!$D$9,N43="Mut+ext")),0,ROUNDUP(L43/M43,0))</f>
        <v>0</v>
      </c>
      <c r="Q43" s="728">
        <f>IF(OR(J43="",N43="Mut+ext"),0,IF(VLOOKUP(J43,Paramétrage!$D$6:$F$29,3,0)=0,0,IF(M43="","saisir capacité",K43*P43*VLOOKUP(J43,Paramétrage!$D$6:$F$29,2,0))))</f>
        <v>0</v>
      </c>
      <c r="R43" s="721"/>
      <c r="S43" s="467">
        <f t="shared" si="5"/>
        <v>0</v>
      </c>
      <c r="T43" s="471">
        <f>IF(J43="",0,IF(ISERROR(R43+Q43*VLOOKUP(J43,Paramétrage!$D$6:$F$29,3,0))=TRUE,S43,R43+Q43*VLOOKUP(J43,Paramétrage!$D$6:$F$29,3,0)))</f>
        <v>0</v>
      </c>
      <c r="U43" s="580"/>
      <c r="V43" s="467">
        <f t="shared" si="6"/>
        <v>0</v>
      </c>
      <c r="W43" s="471">
        <f>IF(J43="",0,IF(ISERROR(U43+Q43*VLOOKUP(J43,Paramétrage!$D$6:$F$29,3,0))=TRUE,V43,U43+Q43*VLOOKUP(J43,Paramétrage!$D$6:$F$29,3,0)))</f>
        <v>0</v>
      </c>
      <c r="X43" s="586"/>
      <c r="Y43" s="580"/>
      <c r="Z43" s="580"/>
      <c r="AA43" s="580"/>
      <c r="AB43" s="472">
        <f t="shared" si="1"/>
        <v>0</v>
      </c>
      <c r="AC43" s="589"/>
      <c r="AD43" s="589"/>
      <c r="AE43" s="589"/>
      <c r="AF43" s="589"/>
      <c r="AG43" s="472">
        <f t="shared" si="2"/>
        <v>0</v>
      </c>
      <c r="AH43" s="567"/>
      <c r="AI43" s="567"/>
      <c r="AJ43" s="568"/>
      <c r="AK43" s="473" t="e">
        <f>VLOOKUP(G43,Paramétrage!$L$6:$M$12,2,0)</f>
        <v>#N/A</v>
      </c>
      <c r="AL43" s="712">
        <f t="shared" si="3"/>
        <v>0</v>
      </c>
      <c r="AM43" s="473">
        <f t="shared" si="4"/>
        <v>0</v>
      </c>
    </row>
    <row r="44" spans="1:39" x14ac:dyDescent="0.25">
      <c r="A44" s="822"/>
      <c r="B44" s="738"/>
      <c r="C44" s="739"/>
      <c r="D44" s="740"/>
      <c r="E44" s="585"/>
      <c r="F44" s="596"/>
      <c r="G44" s="598"/>
      <c r="H44" s="597"/>
      <c r="I44" s="599"/>
      <c r="J44" s="581"/>
      <c r="K44" s="600"/>
      <c r="L44" s="603"/>
      <c r="M44" s="588"/>
      <c r="N44" s="601"/>
      <c r="O44" s="602"/>
      <c r="P44" s="715">
        <f>IF(OR(M44="",J44=Paramétrage!$D$9,J44=Paramétrage!$D$12,J44=Paramétrage!$D$15,J44=Paramétrage!$D$18,J44=Paramétrage!$D$22,J44=Paramétrage!$D$25,AND(J44&lt;&gt;Paramétrage!$D$9,N44="Mut+ext")),0,ROUNDUP(L44/M44,0))</f>
        <v>0</v>
      </c>
      <c r="Q44" s="728">
        <f>IF(OR(J44="",N44="Mut+ext"),0,IF(VLOOKUP(J44,Paramétrage!$D$6:$F$29,3,0)=0,0,IF(M44="","saisir capacité",K44*P44*VLOOKUP(J44,Paramétrage!$D$6:$F$29,2,0))))</f>
        <v>0</v>
      </c>
      <c r="R44" s="721"/>
      <c r="S44" s="467">
        <f t="shared" si="5"/>
        <v>0</v>
      </c>
      <c r="T44" s="471">
        <f>IF(J44="",0,IF(ISERROR(R44+Q44*VLOOKUP(J44,Paramétrage!$D$6:$F$29,3,0))=TRUE,S44,R44+Q44*VLOOKUP(J44,Paramétrage!$D$6:$F$29,3,0)))</f>
        <v>0</v>
      </c>
      <c r="U44" s="580"/>
      <c r="V44" s="467">
        <f t="shared" si="6"/>
        <v>0</v>
      </c>
      <c r="W44" s="471">
        <f>IF(J44="",0,IF(ISERROR(U44+Q44*VLOOKUP(J44,Paramétrage!$D$6:$F$29,3,0))=TRUE,V44,U44+Q44*VLOOKUP(J44,Paramétrage!$D$6:$F$29,3,0)))</f>
        <v>0</v>
      </c>
      <c r="X44" s="586"/>
      <c r="Y44" s="580"/>
      <c r="Z44" s="580"/>
      <c r="AA44" s="580"/>
      <c r="AB44" s="472">
        <f t="shared" si="1"/>
        <v>0</v>
      </c>
      <c r="AC44" s="589"/>
      <c r="AD44" s="589"/>
      <c r="AE44" s="589"/>
      <c r="AF44" s="589"/>
      <c r="AG44" s="472">
        <f t="shared" si="2"/>
        <v>0</v>
      </c>
      <c r="AH44" s="567"/>
      <c r="AI44" s="567"/>
      <c r="AJ44" s="568"/>
      <c r="AK44" s="473" t="e">
        <f>VLOOKUP(G44,Paramétrage!$L$6:$M$12,2,0)</f>
        <v>#N/A</v>
      </c>
      <c r="AL44" s="712">
        <f t="shared" si="3"/>
        <v>0</v>
      </c>
      <c r="AM44" s="473">
        <f t="shared" si="4"/>
        <v>0</v>
      </c>
    </row>
    <row r="45" spans="1:39" x14ac:dyDescent="0.25">
      <c r="A45" s="822"/>
      <c r="B45" s="738"/>
      <c r="C45" s="739"/>
      <c r="D45" s="740"/>
      <c r="E45" s="585"/>
      <c r="F45" s="596"/>
      <c r="G45" s="598"/>
      <c r="H45" s="597"/>
      <c r="I45" s="599"/>
      <c r="J45" s="581"/>
      <c r="K45" s="600"/>
      <c r="L45" s="603"/>
      <c r="M45" s="588"/>
      <c r="N45" s="601"/>
      <c r="O45" s="602"/>
      <c r="P45" s="715">
        <f>IF(OR(M45="",J45=Paramétrage!$D$9,J45=Paramétrage!$D$12,J45=Paramétrage!$D$15,J45=Paramétrage!$D$18,J45=Paramétrage!$D$22,J45=Paramétrage!$D$25,AND(J45&lt;&gt;Paramétrage!$D$9,N45="Mut+ext")),0,ROUNDUP(L45/M45,0))</f>
        <v>0</v>
      </c>
      <c r="Q45" s="728">
        <f>IF(OR(J45="",N45="Mut+ext"),0,IF(VLOOKUP(J45,Paramétrage!$D$6:$F$29,3,0)=0,0,IF(M45="","saisir capacité",K45*P45*VLOOKUP(J45,Paramétrage!$D$6:$F$29,2,0))))</f>
        <v>0</v>
      </c>
      <c r="R45" s="721"/>
      <c r="S45" s="467">
        <f t="shared" si="5"/>
        <v>0</v>
      </c>
      <c r="T45" s="471">
        <f>IF(J45="",0,IF(ISERROR(R45+Q45*VLOOKUP(J45,Paramétrage!$D$6:$F$29,3,0))=TRUE,S45,R45+Q45*VLOOKUP(J45,Paramétrage!$D$6:$F$29,3,0)))</f>
        <v>0</v>
      </c>
      <c r="U45" s="580"/>
      <c r="V45" s="467">
        <f t="shared" si="6"/>
        <v>0</v>
      </c>
      <c r="W45" s="471">
        <f>IF(J45="",0,IF(ISERROR(U45+Q45*VLOOKUP(J45,Paramétrage!$D$6:$F$29,3,0))=TRUE,V45,U45+Q45*VLOOKUP(J45,Paramétrage!$D$6:$F$29,3,0)))</f>
        <v>0</v>
      </c>
      <c r="X45" s="586"/>
      <c r="Y45" s="580"/>
      <c r="Z45" s="580"/>
      <c r="AA45" s="580"/>
      <c r="AB45" s="472">
        <f t="shared" si="1"/>
        <v>0</v>
      </c>
      <c r="AC45" s="589"/>
      <c r="AD45" s="589"/>
      <c r="AE45" s="589"/>
      <c r="AF45" s="589"/>
      <c r="AG45" s="472">
        <f t="shared" si="2"/>
        <v>0</v>
      </c>
      <c r="AH45" s="567"/>
      <c r="AI45" s="567"/>
      <c r="AJ45" s="568"/>
      <c r="AK45" s="473" t="e">
        <f>VLOOKUP(G45,Paramétrage!$L$6:$M$12,2,0)</f>
        <v>#N/A</v>
      </c>
      <c r="AL45" s="712">
        <f t="shared" si="3"/>
        <v>0</v>
      </c>
      <c r="AM45" s="473">
        <f t="shared" si="4"/>
        <v>0</v>
      </c>
    </row>
    <row r="46" spans="1:39" x14ac:dyDescent="0.25">
      <c r="A46" s="822"/>
      <c r="B46" s="738"/>
      <c r="C46" s="739"/>
      <c r="D46" s="740"/>
      <c r="E46" s="585"/>
      <c r="F46" s="596"/>
      <c r="G46" s="598"/>
      <c r="H46" s="597"/>
      <c r="I46" s="599"/>
      <c r="J46" s="581"/>
      <c r="K46" s="600"/>
      <c r="L46" s="603"/>
      <c r="M46" s="588"/>
      <c r="N46" s="601"/>
      <c r="O46" s="602"/>
      <c r="P46" s="715">
        <f>IF(OR(M46="",J46=Paramétrage!$D$9,J46=Paramétrage!$D$12,J46=Paramétrage!$D$15,J46=Paramétrage!$D$18,J46=Paramétrage!$D$22,J46=Paramétrage!$D$25,AND(J46&lt;&gt;Paramétrage!$D$9,N46="Mut+ext")),0,ROUNDUP(L46/M46,0))</f>
        <v>0</v>
      </c>
      <c r="Q46" s="728">
        <f>IF(OR(J46="",N46="Mut+ext"),0,IF(VLOOKUP(J46,Paramétrage!$D$6:$F$29,3,0)=0,0,IF(M46="","saisir capacité",K46*P46*VLOOKUP(J46,Paramétrage!$D$6:$F$29,2,0))))</f>
        <v>0</v>
      </c>
      <c r="R46" s="721"/>
      <c r="S46" s="467">
        <f t="shared" si="5"/>
        <v>0</v>
      </c>
      <c r="T46" s="471">
        <f>IF(J46="",0,IF(ISERROR(R46+Q46*VLOOKUP(J46,Paramétrage!$D$6:$F$29,3,0))=TRUE,S46,R46+Q46*VLOOKUP(J46,Paramétrage!$D$6:$F$29,3,0)))</f>
        <v>0</v>
      </c>
      <c r="U46" s="580"/>
      <c r="V46" s="467">
        <f t="shared" si="6"/>
        <v>0</v>
      </c>
      <c r="W46" s="471">
        <f>IF(J46="",0,IF(ISERROR(U46+Q46*VLOOKUP(J46,Paramétrage!$D$6:$F$29,3,0))=TRUE,V46,U46+Q46*VLOOKUP(J46,Paramétrage!$D$6:$F$29,3,0)))</f>
        <v>0</v>
      </c>
      <c r="X46" s="586"/>
      <c r="Y46" s="580"/>
      <c r="Z46" s="580"/>
      <c r="AA46" s="580"/>
      <c r="AB46" s="472">
        <f t="shared" si="1"/>
        <v>0</v>
      </c>
      <c r="AC46" s="589"/>
      <c r="AD46" s="589"/>
      <c r="AE46" s="589"/>
      <c r="AF46" s="589"/>
      <c r="AG46" s="472">
        <f t="shared" si="2"/>
        <v>0</v>
      </c>
      <c r="AH46" s="567"/>
      <c r="AI46" s="567"/>
      <c r="AJ46" s="568"/>
      <c r="AK46" s="473" t="e">
        <f>VLOOKUP(G46,Paramétrage!$L$6:$M$12,2,0)</f>
        <v>#N/A</v>
      </c>
      <c r="AL46" s="712">
        <f t="shared" si="3"/>
        <v>0</v>
      </c>
      <c r="AM46" s="473">
        <f t="shared" si="4"/>
        <v>0</v>
      </c>
    </row>
    <row r="47" spans="1:39" x14ac:dyDescent="0.25">
      <c r="A47" s="822"/>
      <c r="B47" s="738"/>
      <c r="C47" s="739"/>
      <c r="D47" s="740"/>
      <c r="E47" s="585"/>
      <c r="F47" s="596"/>
      <c r="G47" s="598"/>
      <c r="H47" s="597"/>
      <c r="I47" s="599"/>
      <c r="J47" s="581"/>
      <c r="K47" s="600"/>
      <c r="L47" s="603"/>
      <c r="M47" s="588"/>
      <c r="N47" s="601"/>
      <c r="O47" s="602"/>
      <c r="P47" s="715">
        <f>IF(OR(M47="",J47=Paramétrage!$D$9,J47=Paramétrage!$D$12,J47=Paramétrage!$D$15,J47=Paramétrage!$D$18,J47=Paramétrage!$D$22,J47=Paramétrage!$D$25,AND(J47&lt;&gt;Paramétrage!$D$9,N47="Mut+ext")),0,ROUNDUP(L47/M47,0))</f>
        <v>0</v>
      </c>
      <c r="Q47" s="728">
        <f>IF(OR(J47="",N47="Mut+ext"),0,IF(VLOOKUP(J47,Paramétrage!$D$6:$F$29,3,0)=0,0,IF(M47="","saisir capacité",K47*P47*VLOOKUP(J47,Paramétrage!$D$6:$F$29,2,0))))</f>
        <v>0</v>
      </c>
      <c r="R47" s="721"/>
      <c r="S47" s="467">
        <f t="shared" si="5"/>
        <v>0</v>
      </c>
      <c r="T47" s="471">
        <f>IF(J47="",0,IF(ISERROR(R47+Q47*VLOOKUP(J47,Paramétrage!$D$6:$F$29,3,0))=TRUE,S47,R47+Q47*VLOOKUP(J47,Paramétrage!$D$6:$F$29,3,0)))</f>
        <v>0</v>
      </c>
      <c r="U47" s="580"/>
      <c r="V47" s="467">
        <f t="shared" si="6"/>
        <v>0</v>
      </c>
      <c r="W47" s="471">
        <f>IF(J47="",0,IF(ISERROR(U47+Q47*VLOOKUP(J47,Paramétrage!$D$6:$F$29,3,0))=TRUE,V47,U47+Q47*VLOOKUP(J47,Paramétrage!$D$6:$F$29,3,0)))</f>
        <v>0</v>
      </c>
      <c r="X47" s="586"/>
      <c r="Y47" s="580"/>
      <c r="Z47" s="580"/>
      <c r="AA47" s="580"/>
      <c r="AB47" s="472">
        <f t="shared" si="1"/>
        <v>0</v>
      </c>
      <c r="AC47" s="589"/>
      <c r="AD47" s="589"/>
      <c r="AE47" s="589"/>
      <c r="AF47" s="589"/>
      <c r="AG47" s="472">
        <f t="shared" si="2"/>
        <v>0</v>
      </c>
      <c r="AH47" s="567"/>
      <c r="AI47" s="567"/>
      <c r="AJ47" s="568"/>
      <c r="AK47" s="473" t="e">
        <f>VLOOKUP(G47,Paramétrage!$L$6:$M$12,2,0)</f>
        <v>#N/A</v>
      </c>
      <c r="AL47" s="712">
        <f t="shared" si="3"/>
        <v>0</v>
      </c>
      <c r="AM47" s="473">
        <f t="shared" si="4"/>
        <v>0</v>
      </c>
    </row>
    <row r="48" spans="1:39" x14ac:dyDescent="0.25">
      <c r="A48" s="822"/>
      <c r="B48" s="738"/>
      <c r="C48" s="739"/>
      <c r="D48" s="740"/>
      <c r="E48" s="585"/>
      <c r="F48" s="596"/>
      <c r="G48" s="598"/>
      <c r="H48" s="597"/>
      <c r="I48" s="599"/>
      <c r="J48" s="581"/>
      <c r="K48" s="600"/>
      <c r="L48" s="603"/>
      <c r="M48" s="588"/>
      <c r="N48" s="601"/>
      <c r="O48" s="602"/>
      <c r="P48" s="715">
        <f>IF(OR(M48="",J48=Paramétrage!$D$9,J48=Paramétrage!$D$12,J48=Paramétrage!$D$15,J48=Paramétrage!$D$18,J48=Paramétrage!$D$22,J48=Paramétrage!$D$25,AND(J48&lt;&gt;Paramétrage!$D$9,N48="Mut+ext")),0,ROUNDUP(L48/M48,0))</f>
        <v>0</v>
      </c>
      <c r="Q48" s="728">
        <f>IF(OR(J48="",N48="Mut+ext"),0,IF(VLOOKUP(J48,Paramétrage!$D$6:$F$29,3,0)=0,0,IF(M48="","saisir capacité",K48*P48*VLOOKUP(J48,Paramétrage!$D$6:$F$29,2,0))))</f>
        <v>0</v>
      </c>
      <c r="R48" s="721"/>
      <c r="S48" s="467">
        <f t="shared" si="5"/>
        <v>0</v>
      </c>
      <c r="T48" s="471">
        <f>IF(J48="",0,IF(ISERROR(R48+Q48*VLOOKUP(J48,Paramétrage!$D$6:$F$29,3,0))=TRUE,S48,R48+Q48*VLOOKUP(J48,Paramétrage!$D$6:$F$29,3,0)))</f>
        <v>0</v>
      </c>
      <c r="U48" s="580"/>
      <c r="V48" s="467">
        <f t="shared" si="6"/>
        <v>0</v>
      </c>
      <c r="W48" s="471">
        <f>IF(J48="",0,IF(ISERROR(U48+Q48*VLOOKUP(J48,Paramétrage!$D$6:$F$29,3,0))=TRUE,V48,U48+Q48*VLOOKUP(J48,Paramétrage!$D$6:$F$29,3,0)))</f>
        <v>0</v>
      </c>
      <c r="X48" s="586"/>
      <c r="Y48" s="580"/>
      <c r="Z48" s="580"/>
      <c r="AA48" s="580"/>
      <c r="AB48" s="472">
        <f t="shared" si="1"/>
        <v>0</v>
      </c>
      <c r="AC48" s="589"/>
      <c r="AD48" s="589"/>
      <c r="AE48" s="589"/>
      <c r="AF48" s="589"/>
      <c r="AG48" s="472">
        <f t="shared" si="2"/>
        <v>0</v>
      </c>
      <c r="AH48" s="567"/>
      <c r="AI48" s="567"/>
      <c r="AJ48" s="568"/>
      <c r="AK48" s="473" t="e">
        <f>VLOOKUP(G48,Paramétrage!$L$6:$M$12,2,0)</f>
        <v>#N/A</v>
      </c>
      <c r="AL48" s="712">
        <f t="shared" si="3"/>
        <v>0</v>
      </c>
      <c r="AM48" s="473">
        <f t="shared" si="4"/>
        <v>0</v>
      </c>
    </row>
    <row r="49" spans="1:39" x14ac:dyDescent="0.25">
      <c r="A49" s="822"/>
      <c r="B49" s="738"/>
      <c r="C49" s="739"/>
      <c r="D49" s="740"/>
      <c r="E49" s="585"/>
      <c r="F49" s="596"/>
      <c r="G49" s="598"/>
      <c r="H49" s="597"/>
      <c r="I49" s="599"/>
      <c r="J49" s="581"/>
      <c r="K49" s="600"/>
      <c r="L49" s="603"/>
      <c r="M49" s="588"/>
      <c r="N49" s="601"/>
      <c r="O49" s="602"/>
      <c r="P49" s="715">
        <f>IF(OR(M49="",J49=Paramétrage!$D$9,J49=Paramétrage!$D$12,J49=Paramétrage!$D$15,J49=Paramétrage!$D$18,J49=Paramétrage!$D$22,J49=Paramétrage!$D$25,AND(J49&lt;&gt;Paramétrage!$D$9,N49="Mut+ext")),0,ROUNDUP(L49/M49,0))</f>
        <v>0</v>
      </c>
      <c r="Q49" s="728">
        <f>IF(OR(J49="",N49="Mut+ext"),0,IF(VLOOKUP(J49,Paramétrage!$D$6:$F$29,3,0)=0,0,IF(M49="","saisir capacité",K49*P49*VLOOKUP(J49,Paramétrage!$D$6:$F$29,2,0))))</f>
        <v>0</v>
      </c>
      <c r="R49" s="721"/>
      <c r="S49" s="467">
        <f t="shared" si="5"/>
        <v>0</v>
      </c>
      <c r="T49" s="471">
        <f>IF(J49="",0,IF(ISERROR(R49+Q49*VLOOKUP(J49,Paramétrage!$D$6:$F$29,3,0))=TRUE,S49,R49+Q49*VLOOKUP(J49,Paramétrage!$D$6:$F$29,3,0)))</f>
        <v>0</v>
      </c>
      <c r="U49" s="580"/>
      <c r="V49" s="467">
        <f t="shared" si="6"/>
        <v>0</v>
      </c>
      <c r="W49" s="471">
        <f>IF(J49="",0,IF(ISERROR(U49+Q49*VLOOKUP(J49,Paramétrage!$D$6:$F$29,3,0))=TRUE,V49,U49+Q49*VLOOKUP(J49,Paramétrage!$D$6:$F$29,3,0)))</f>
        <v>0</v>
      </c>
      <c r="X49" s="586"/>
      <c r="Y49" s="580"/>
      <c r="Z49" s="580"/>
      <c r="AA49" s="580"/>
      <c r="AB49" s="472">
        <f t="shared" si="1"/>
        <v>0</v>
      </c>
      <c r="AC49" s="589"/>
      <c r="AD49" s="589"/>
      <c r="AE49" s="589"/>
      <c r="AF49" s="589"/>
      <c r="AG49" s="472">
        <f t="shared" si="2"/>
        <v>0</v>
      </c>
      <c r="AH49" s="567"/>
      <c r="AI49" s="567"/>
      <c r="AJ49" s="568"/>
      <c r="AK49" s="473" t="e">
        <f>VLOOKUP(G49,Paramétrage!$L$6:$M$12,2,0)</f>
        <v>#N/A</v>
      </c>
      <c r="AL49" s="712">
        <f t="shared" si="3"/>
        <v>0</v>
      </c>
      <c r="AM49" s="473">
        <f t="shared" si="4"/>
        <v>0</v>
      </c>
    </row>
    <row r="50" spans="1:39" x14ac:dyDescent="0.25">
      <c r="A50" s="822"/>
      <c r="B50" s="738"/>
      <c r="C50" s="739"/>
      <c r="D50" s="740"/>
      <c r="E50" s="585"/>
      <c r="F50" s="596"/>
      <c r="G50" s="598"/>
      <c r="H50" s="597"/>
      <c r="I50" s="599"/>
      <c r="J50" s="581"/>
      <c r="K50" s="600"/>
      <c r="L50" s="603"/>
      <c r="M50" s="588"/>
      <c r="N50" s="601"/>
      <c r="O50" s="602"/>
      <c r="P50" s="715">
        <f>IF(OR(M50="",J50=Paramétrage!$D$9,J50=Paramétrage!$D$12,J50=Paramétrage!$D$15,J50=Paramétrage!$D$18,J50=Paramétrage!$D$22,J50=Paramétrage!$D$25,AND(J50&lt;&gt;Paramétrage!$D$9,N50="Mut+ext")),0,ROUNDUP(L50/M50,0))</f>
        <v>0</v>
      </c>
      <c r="Q50" s="728">
        <f>IF(OR(J50="",N50="Mut+ext"),0,IF(VLOOKUP(J50,Paramétrage!$D$6:$F$29,3,0)=0,0,IF(M50="","saisir capacité",K50*P50*VLOOKUP(J50,Paramétrage!$D$6:$F$29,2,0))))</f>
        <v>0</v>
      </c>
      <c r="R50" s="721"/>
      <c r="S50" s="467">
        <f t="shared" si="5"/>
        <v>0</v>
      </c>
      <c r="T50" s="471">
        <f>IF(J50="",0,IF(ISERROR(R50+Q50*VLOOKUP(J50,Paramétrage!$D$6:$F$29,3,0))=TRUE,S50,R50+Q50*VLOOKUP(J50,Paramétrage!$D$6:$F$29,3,0)))</f>
        <v>0</v>
      </c>
      <c r="U50" s="580"/>
      <c r="V50" s="467">
        <f t="shared" si="6"/>
        <v>0</v>
      </c>
      <c r="W50" s="471">
        <f>IF(J50="",0,IF(ISERROR(U50+Q50*VLOOKUP(J50,Paramétrage!$D$6:$F$29,3,0))=TRUE,V50,U50+Q50*VLOOKUP(J50,Paramétrage!$D$6:$F$29,3,0)))</f>
        <v>0</v>
      </c>
      <c r="X50" s="586"/>
      <c r="Y50" s="580"/>
      <c r="Z50" s="580"/>
      <c r="AA50" s="580"/>
      <c r="AB50" s="472">
        <f t="shared" si="1"/>
        <v>0</v>
      </c>
      <c r="AC50" s="589"/>
      <c r="AD50" s="589"/>
      <c r="AE50" s="589"/>
      <c r="AF50" s="589"/>
      <c r="AG50" s="472">
        <f t="shared" si="2"/>
        <v>0</v>
      </c>
      <c r="AH50" s="567"/>
      <c r="AI50" s="567"/>
      <c r="AJ50" s="568"/>
      <c r="AK50" s="473" t="e">
        <f>VLOOKUP(G50,Paramétrage!$L$6:$M$12,2,0)</f>
        <v>#N/A</v>
      </c>
      <c r="AL50" s="712">
        <f t="shared" si="3"/>
        <v>0</v>
      </c>
      <c r="AM50" s="473">
        <f t="shared" si="4"/>
        <v>0</v>
      </c>
    </row>
    <row r="51" spans="1:39" x14ac:dyDescent="0.25">
      <c r="A51" s="822"/>
      <c r="B51" s="738"/>
      <c r="C51" s="739"/>
      <c r="D51" s="740"/>
      <c r="E51" s="585"/>
      <c r="F51" s="596"/>
      <c r="G51" s="598"/>
      <c r="H51" s="597"/>
      <c r="I51" s="599"/>
      <c r="J51" s="581"/>
      <c r="K51" s="600"/>
      <c r="L51" s="603"/>
      <c r="M51" s="588"/>
      <c r="N51" s="601"/>
      <c r="O51" s="602"/>
      <c r="P51" s="715">
        <f>IF(OR(M51="",J51=Paramétrage!$D$9,J51=Paramétrage!$D$12,J51=Paramétrage!$D$15,J51=Paramétrage!$D$18,J51=Paramétrage!$D$22,J51=Paramétrage!$D$25,AND(J51&lt;&gt;Paramétrage!$D$9,N51="Mut+ext")),0,ROUNDUP(L51/M51,0))</f>
        <v>0</v>
      </c>
      <c r="Q51" s="728">
        <f>IF(OR(J51="",N51="Mut+ext"),0,IF(VLOOKUP(J51,Paramétrage!$D$6:$F$29,3,0)=0,0,IF(M51="","saisir capacité",K51*P51*VLOOKUP(J51,Paramétrage!$D$6:$F$29,2,0))))</f>
        <v>0</v>
      </c>
      <c r="R51" s="721"/>
      <c r="S51" s="467">
        <f t="shared" si="5"/>
        <v>0</v>
      </c>
      <c r="T51" s="471">
        <f>IF(J51="",0,IF(ISERROR(R51+Q51*VLOOKUP(J51,Paramétrage!$D$6:$F$29,3,0))=TRUE,S51,R51+Q51*VLOOKUP(J51,Paramétrage!$D$6:$F$29,3,0)))</f>
        <v>0</v>
      </c>
      <c r="U51" s="580"/>
      <c r="V51" s="467">
        <f t="shared" si="6"/>
        <v>0</v>
      </c>
      <c r="W51" s="471">
        <f>IF(J51="",0,IF(ISERROR(U51+Q51*VLOOKUP(J51,Paramétrage!$D$6:$F$29,3,0))=TRUE,V51,U51+Q51*VLOOKUP(J51,Paramétrage!$D$6:$F$29,3,0)))</f>
        <v>0</v>
      </c>
      <c r="X51" s="586"/>
      <c r="Y51" s="580"/>
      <c r="Z51" s="580"/>
      <c r="AA51" s="580"/>
      <c r="AB51" s="472">
        <f t="shared" si="1"/>
        <v>0</v>
      </c>
      <c r="AC51" s="589"/>
      <c r="AD51" s="589"/>
      <c r="AE51" s="589"/>
      <c r="AF51" s="589"/>
      <c r="AG51" s="472">
        <f t="shared" si="2"/>
        <v>0</v>
      </c>
      <c r="AH51" s="567"/>
      <c r="AI51" s="567"/>
      <c r="AJ51" s="568"/>
      <c r="AK51" s="473" t="e">
        <f>VLOOKUP(G51,Paramétrage!$L$6:$M$12,2,0)</f>
        <v>#N/A</v>
      </c>
      <c r="AL51" s="712">
        <f t="shared" si="3"/>
        <v>0</v>
      </c>
      <c r="AM51" s="473">
        <f t="shared" si="4"/>
        <v>0</v>
      </c>
    </row>
    <row r="52" spans="1:39" x14ac:dyDescent="0.25">
      <c r="A52" s="822"/>
      <c r="B52" s="738"/>
      <c r="C52" s="739"/>
      <c r="D52" s="740"/>
      <c r="E52" s="585"/>
      <c r="F52" s="596"/>
      <c r="G52" s="598"/>
      <c r="H52" s="597"/>
      <c r="I52" s="599"/>
      <c r="J52" s="581"/>
      <c r="K52" s="600"/>
      <c r="L52" s="603"/>
      <c r="M52" s="588"/>
      <c r="N52" s="601"/>
      <c r="O52" s="602"/>
      <c r="P52" s="715">
        <f>IF(OR(M52="",J52=Paramétrage!$D$9,J52=Paramétrage!$D$12,J52=Paramétrage!$D$15,J52=Paramétrage!$D$18,J52=Paramétrage!$D$22,J52=Paramétrage!$D$25,AND(J52&lt;&gt;Paramétrage!$D$9,N52="Mut+ext")),0,ROUNDUP(L52/M52,0))</f>
        <v>0</v>
      </c>
      <c r="Q52" s="728">
        <f>IF(OR(J52="",N52="Mut+ext"),0,IF(VLOOKUP(J52,Paramétrage!$D$6:$F$29,3,0)=0,0,IF(M52="","saisir capacité",K52*P52*VLOOKUP(J52,Paramétrage!$D$6:$F$29,2,0))))</f>
        <v>0</v>
      </c>
      <c r="R52" s="721"/>
      <c r="S52" s="467">
        <f t="shared" si="5"/>
        <v>0</v>
      </c>
      <c r="T52" s="471">
        <f>IF(J52="",0,IF(ISERROR(R52+Q52*VLOOKUP(J52,Paramétrage!$D$6:$F$29,3,0))=TRUE,S52,R52+Q52*VLOOKUP(J52,Paramétrage!$D$6:$F$29,3,0)))</f>
        <v>0</v>
      </c>
      <c r="U52" s="580"/>
      <c r="V52" s="467">
        <f t="shared" si="6"/>
        <v>0</v>
      </c>
      <c r="W52" s="471">
        <f>IF(J52="",0,IF(ISERROR(U52+Q52*VLOOKUP(J52,Paramétrage!$D$6:$F$29,3,0))=TRUE,V52,U52+Q52*VLOOKUP(J52,Paramétrage!$D$6:$F$29,3,0)))</f>
        <v>0</v>
      </c>
      <c r="X52" s="586"/>
      <c r="Y52" s="580"/>
      <c r="Z52" s="580"/>
      <c r="AA52" s="580"/>
      <c r="AB52" s="472">
        <f t="shared" si="1"/>
        <v>0</v>
      </c>
      <c r="AC52" s="589"/>
      <c r="AD52" s="589"/>
      <c r="AE52" s="589"/>
      <c r="AF52" s="589"/>
      <c r="AG52" s="472">
        <f t="shared" si="2"/>
        <v>0</v>
      </c>
      <c r="AH52" s="567"/>
      <c r="AI52" s="567"/>
      <c r="AJ52" s="568"/>
      <c r="AK52" s="473" t="e">
        <f>VLOOKUP(G52,Paramétrage!$L$6:$M$12,2,0)</f>
        <v>#N/A</v>
      </c>
      <c r="AL52" s="712">
        <f t="shared" si="3"/>
        <v>0</v>
      </c>
      <c r="AM52" s="473">
        <f t="shared" si="4"/>
        <v>0</v>
      </c>
    </row>
    <row r="53" spans="1:39" x14ac:dyDescent="0.25">
      <c r="A53" s="822"/>
      <c r="B53" s="738"/>
      <c r="C53" s="739"/>
      <c r="D53" s="740"/>
      <c r="E53" s="585"/>
      <c r="F53" s="596"/>
      <c r="G53" s="598"/>
      <c r="H53" s="597"/>
      <c r="I53" s="599"/>
      <c r="J53" s="581"/>
      <c r="K53" s="600"/>
      <c r="L53" s="603"/>
      <c r="M53" s="588"/>
      <c r="N53" s="601"/>
      <c r="O53" s="602"/>
      <c r="P53" s="715">
        <f>IF(OR(M53="",J53=Paramétrage!$D$9,J53=Paramétrage!$D$12,J53=Paramétrage!$D$15,J53=Paramétrage!$D$18,J53=Paramétrage!$D$22,J53=Paramétrage!$D$25,AND(J53&lt;&gt;Paramétrage!$D$9,N53="Mut+ext")),0,ROUNDUP(L53/M53,0))</f>
        <v>0</v>
      </c>
      <c r="Q53" s="728">
        <f>IF(OR(J53="",N53="Mut+ext"),0,IF(VLOOKUP(J53,Paramétrage!$D$6:$F$29,3,0)=0,0,IF(M53="","saisir capacité",K53*P53*VLOOKUP(J53,Paramétrage!$D$6:$F$29,2,0))))</f>
        <v>0</v>
      </c>
      <c r="R53" s="721"/>
      <c r="S53" s="467">
        <f t="shared" si="5"/>
        <v>0</v>
      </c>
      <c r="T53" s="471">
        <f>IF(J53="",0,IF(ISERROR(R53+Q53*VLOOKUP(J53,Paramétrage!$D$6:$F$29,3,0))=TRUE,S53,R53+Q53*VLOOKUP(J53,Paramétrage!$D$6:$F$29,3,0)))</f>
        <v>0</v>
      </c>
      <c r="U53" s="580"/>
      <c r="V53" s="467">
        <f t="shared" si="6"/>
        <v>0</v>
      </c>
      <c r="W53" s="471">
        <f>IF(J53="",0,IF(ISERROR(U53+Q53*VLOOKUP(J53,Paramétrage!$D$6:$F$29,3,0))=TRUE,V53,U53+Q53*VLOOKUP(J53,Paramétrage!$D$6:$F$29,3,0)))</f>
        <v>0</v>
      </c>
      <c r="X53" s="586"/>
      <c r="Y53" s="580"/>
      <c r="Z53" s="580"/>
      <c r="AA53" s="580"/>
      <c r="AB53" s="472">
        <f t="shared" si="1"/>
        <v>0</v>
      </c>
      <c r="AC53" s="589"/>
      <c r="AD53" s="589"/>
      <c r="AE53" s="589"/>
      <c r="AF53" s="589"/>
      <c r="AG53" s="472">
        <f t="shared" si="2"/>
        <v>0</v>
      </c>
      <c r="AH53" s="567"/>
      <c r="AI53" s="567"/>
      <c r="AJ53" s="568"/>
      <c r="AK53" s="473" t="e">
        <f>VLOOKUP(G53,Paramétrage!$L$6:$M$12,2,0)</f>
        <v>#N/A</v>
      </c>
      <c r="AL53" s="712">
        <f t="shared" si="3"/>
        <v>0</v>
      </c>
      <c r="AM53" s="473">
        <f t="shared" si="4"/>
        <v>0</v>
      </c>
    </row>
    <row r="54" spans="1:39" x14ac:dyDescent="0.25">
      <c r="A54" s="822"/>
      <c r="B54" s="738"/>
      <c r="C54" s="739"/>
      <c r="D54" s="740"/>
      <c r="E54" s="585"/>
      <c r="F54" s="596"/>
      <c r="G54" s="598"/>
      <c r="H54" s="597"/>
      <c r="I54" s="599"/>
      <c r="J54" s="581"/>
      <c r="K54" s="600"/>
      <c r="L54" s="603"/>
      <c r="M54" s="588"/>
      <c r="N54" s="601"/>
      <c r="O54" s="602"/>
      <c r="P54" s="715">
        <f>IF(OR(M54="",J54=Paramétrage!$D$9,J54=Paramétrage!$D$12,J54=Paramétrage!$D$15,J54=Paramétrage!$D$18,J54=Paramétrage!$D$22,J54=Paramétrage!$D$25,AND(J54&lt;&gt;Paramétrage!$D$9,N54="Mut+ext")),0,ROUNDUP(L54/M54,0))</f>
        <v>0</v>
      </c>
      <c r="Q54" s="728">
        <f>IF(OR(J54="",N54="Mut+ext"),0,IF(VLOOKUP(J54,Paramétrage!$D$6:$F$29,3,0)=0,0,IF(M54="","saisir capacité",K54*P54*VLOOKUP(J54,Paramétrage!$D$6:$F$29,2,0))))</f>
        <v>0</v>
      </c>
      <c r="R54" s="721"/>
      <c r="S54" s="467">
        <f t="shared" si="5"/>
        <v>0</v>
      </c>
      <c r="T54" s="471">
        <f>IF(J54="",0,IF(ISERROR(R54+Q54*VLOOKUP(J54,Paramétrage!$D$6:$F$29,3,0))=TRUE,S54,R54+Q54*VLOOKUP(J54,Paramétrage!$D$6:$F$29,3,0)))</f>
        <v>0</v>
      </c>
      <c r="U54" s="580"/>
      <c r="V54" s="467">
        <f t="shared" si="6"/>
        <v>0</v>
      </c>
      <c r="W54" s="471">
        <f>IF(J54="",0,IF(ISERROR(U54+Q54*VLOOKUP(J54,Paramétrage!$D$6:$F$29,3,0))=TRUE,V54,U54+Q54*VLOOKUP(J54,Paramétrage!$D$6:$F$29,3,0)))</f>
        <v>0</v>
      </c>
      <c r="X54" s="586"/>
      <c r="Y54" s="580"/>
      <c r="Z54" s="580"/>
      <c r="AA54" s="580"/>
      <c r="AB54" s="472">
        <f t="shared" si="1"/>
        <v>0</v>
      </c>
      <c r="AC54" s="589"/>
      <c r="AD54" s="589"/>
      <c r="AE54" s="589"/>
      <c r="AF54" s="589"/>
      <c r="AG54" s="472">
        <f t="shared" si="2"/>
        <v>0</v>
      </c>
      <c r="AH54" s="567"/>
      <c r="AI54" s="567"/>
      <c r="AJ54" s="568"/>
      <c r="AK54" s="473" t="e">
        <f>VLOOKUP(G54,Paramétrage!$L$6:$M$12,2,0)</f>
        <v>#N/A</v>
      </c>
      <c r="AL54" s="712">
        <f t="shared" si="3"/>
        <v>0</v>
      </c>
      <c r="AM54" s="473">
        <f t="shared" si="4"/>
        <v>0</v>
      </c>
    </row>
    <row r="55" spans="1:39" x14ac:dyDescent="0.25">
      <c r="A55" s="822"/>
      <c r="B55" s="738"/>
      <c r="C55" s="739"/>
      <c r="D55" s="740"/>
      <c r="E55" s="585"/>
      <c r="F55" s="596"/>
      <c r="G55" s="598"/>
      <c r="H55" s="597"/>
      <c r="I55" s="599"/>
      <c r="J55" s="581"/>
      <c r="K55" s="600"/>
      <c r="L55" s="603"/>
      <c r="M55" s="588"/>
      <c r="N55" s="601"/>
      <c r="O55" s="602"/>
      <c r="P55" s="715">
        <f>IF(OR(M55="",J55=Paramétrage!$D$9,J55=Paramétrage!$D$12,J55=Paramétrage!$D$15,J55=Paramétrage!$D$18,J55=Paramétrage!$D$22,J55=Paramétrage!$D$25,AND(J55&lt;&gt;Paramétrage!$D$9,N55="Mut+ext")),0,ROUNDUP(L55/M55,0))</f>
        <v>0</v>
      </c>
      <c r="Q55" s="728">
        <f>IF(OR(J55="",N55="Mut+ext"),0,IF(VLOOKUP(J55,Paramétrage!$D$6:$F$29,3,0)=0,0,IF(M55="","saisir capacité",K55*P55*VLOOKUP(J55,Paramétrage!$D$6:$F$29,2,0))))</f>
        <v>0</v>
      </c>
      <c r="R55" s="721"/>
      <c r="S55" s="467">
        <f t="shared" si="5"/>
        <v>0</v>
      </c>
      <c r="T55" s="471">
        <f>IF(J55="",0,IF(ISERROR(R55+Q55*VLOOKUP(J55,Paramétrage!$D$6:$F$29,3,0))=TRUE,S55,R55+Q55*VLOOKUP(J55,Paramétrage!$D$6:$F$29,3,0)))</f>
        <v>0</v>
      </c>
      <c r="U55" s="580"/>
      <c r="V55" s="467">
        <f t="shared" si="6"/>
        <v>0</v>
      </c>
      <c r="W55" s="471">
        <f>IF(J55="",0,IF(ISERROR(U55+Q55*VLOOKUP(J55,Paramétrage!$D$6:$F$29,3,0))=TRUE,V55,U55+Q55*VLOOKUP(J55,Paramétrage!$D$6:$F$29,3,0)))</f>
        <v>0</v>
      </c>
      <c r="X55" s="586"/>
      <c r="Y55" s="580"/>
      <c r="Z55" s="580"/>
      <c r="AA55" s="580"/>
      <c r="AB55" s="472">
        <f t="shared" si="1"/>
        <v>0</v>
      </c>
      <c r="AC55" s="589"/>
      <c r="AD55" s="589"/>
      <c r="AE55" s="589"/>
      <c r="AF55" s="589"/>
      <c r="AG55" s="472">
        <f t="shared" si="2"/>
        <v>0</v>
      </c>
      <c r="AH55" s="567"/>
      <c r="AI55" s="567"/>
      <c r="AJ55" s="568"/>
      <c r="AK55" s="473" t="e">
        <f>VLOOKUP(G55,Paramétrage!$L$6:$M$12,2,0)</f>
        <v>#N/A</v>
      </c>
      <c r="AL55" s="712">
        <f t="shared" si="3"/>
        <v>0</v>
      </c>
      <c r="AM55" s="473">
        <f t="shared" si="4"/>
        <v>0</v>
      </c>
    </row>
    <row r="56" spans="1:39" x14ac:dyDescent="0.25">
      <c r="A56" s="822"/>
      <c r="B56" s="738"/>
      <c r="C56" s="739"/>
      <c r="D56" s="740"/>
      <c r="E56" s="585"/>
      <c r="F56" s="596"/>
      <c r="G56" s="598"/>
      <c r="H56" s="597"/>
      <c r="I56" s="599"/>
      <c r="J56" s="581"/>
      <c r="K56" s="600"/>
      <c r="L56" s="603"/>
      <c r="M56" s="588"/>
      <c r="N56" s="601"/>
      <c r="O56" s="602"/>
      <c r="P56" s="715">
        <f>IF(OR(M56="",J56=Paramétrage!$D$9,J56=Paramétrage!$D$12,J56=Paramétrage!$D$15,J56=Paramétrage!$D$18,J56=Paramétrage!$D$22,J56=Paramétrage!$D$25,AND(J56&lt;&gt;Paramétrage!$D$9,N56="Mut+ext")),0,ROUNDUP(L56/M56,0))</f>
        <v>0</v>
      </c>
      <c r="Q56" s="728">
        <f>IF(OR(J56="",N56="Mut+ext"),0,IF(VLOOKUP(J56,Paramétrage!$D$6:$F$29,3,0)=0,0,IF(M56="","saisir capacité",K56*P56*VLOOKUP(J56,Paramétrage!$D$6:$F$29,2,0))))</f>
        <v>0</v>
      </c>
      <c r="R56" s="721"/>
      <c r="S56" s="467">
        <f t="shared" si="5"/>
        <v>0</v>
      </c>
      <c r="T56" s="471">
        <f>IF(J56="",0,IF(ISERROR(R56+Q56*VLOOKUP(J56,Paramétrage!$D$6:$F$29,3,0))=TRUE,S56,R56+Q56*VLOOKUP(J56,Paramétrage!$D$6:$F$29,3,0)))</f>
        <v>0</v>
      </c>
      <c r="U56" s="580"/>
      <c r="V56" s="467">
        <f t="shared" si="6"/>
        <v>0</v>
      </c>
      <c r="W56" s="471">
        <f>IF(J56="",0,IF(ISERROR(U56+Q56*VLOOKUP(J56,Paramétrage!$D$6:$F$29,3,0))=TRUE,V56,U56+Q56*VLOOKUP(J56,Paramétrage!$D$6:$F$29,3,0)))</f>
        <v>0</v>
      </c>
      <c r="X56" s="586"/>
      <c r="Y56" s="580"/>
      <c r="Z56" s="580"/>
      <c r="AA56" s="580"/>
      <c r="AB56" s="472">
        <f t="shared" si="1"/>
        <v>0</v>
      </c>
      <c r="AC56" s="589"/>
      <c r="AD56" s="589"/>
      <c r="AE56" s="589"/>
      <c r="AF56" s="589"/>
      <c r="AG56" s="472">
        <f t="shared" si="2"/>
        <v>0</v>
      </c>
      <c r="AH56" s="567"/>
      <c r="AI56" s="567"/>
      <c r="AJ56" s="568"/>
      <c r="AK56" s="473" t="e">
        <f>VLOOKUP(G56,Paramétrage!$L$6:$M$12,2,0)</f>
        <v>#N/A</v>
      </c>
      <c r="AL56" s="712">
        <f t="shared" si="3"/>
        <v>0</v>
      </c>
      <c r="AM56" s="473">
        <f t="shared" si="4"/>
        <v>0</v>
      </c>
    </row>
    <row r="57" spans="1:39" x14ac:dyDescent="0.25">
      <c r="A57" s="822"/>
      <c r="B57" s="738"/>
      <c r="C57" s="739"/>
      <c r="D57" s="740"/>
      <c r="E57" s="585"/>
      <c r="F57" s="596"/>
      <c r="G57" s="598"/>
      <c r="H57" s="597"/>
      <c r="I57" s="599"/>
      <c r="J57" s="581"/>
      <c r="K57" s="600"/>
      <c r="L57" s="603"/>
      <c r="M57" s="588"/>
      <c r="N57" s="601"/>
      <c r="O57" s="602"/>
      <c r="P57" s="715">
        <f>IF(OR(M57="",J57=Paramétrage!$D$9,J57=Paramétrage!$D$12,J57=Paramétrage!$D$15,J57=Paramétrage!$D$18,J57=Paramétrage!$D$22,J57=Paramétrage!$D$25,AND(J57&lt;&gt;Paramétrage!$D$9,N57="Mut+ext")),0,ROUNDUP(L57/M57,0))</f>
        <v>0</v>
      </c>
      <c r="Q57" s="728">
        <f>IF(OR(J57="",N57="Mut+ext"),0,IF(VLOOKUP(J57,Paramétrage!$D$6:$F$29,3,0)=0,0,IF(M57="","saisir capacité",K57*P57*VLOOKUP(J57,Paramétrage!$D$6:$F$29,2,0))))</f>
        <v>0</v>
      </c>
      <c r="R57" s="721"/>
      <c r="S57" s="467">
        <f t="shared" si="5"/>
        <v>0</v>
      </c>
      <c r="T57" s="471">
        <f>IF(J57="",0,IF(ISERROR(R57+Q57*VLOOKUP(J57,Paramétrage!$D$6:$F$29,3,0))=TRUE,S57,R57+Q57*VLOOKUP(J57,Paramétrage!$D$6:$F$29,3,0)))</f>
        <v>0</v>
      </c>
      <c r="U57" s="580"/>
      <c r="V57" s="467">
        <f t="shared" si="6"/>
        <v>0</v>
      </c>
      <c r="W57" s="471">
        <f>IF(J57="",0,IF(ISERROR(U57+Q57*VLOOKUP(J57,Paramétrage!$D$6:$F$29,3,0))=TRUE,V57,U57+Q57*VLOOKUP(J57,Paramétrage!$D$6:$F$29,3,0)))</f>
        <v>0</v>
      </c>
      <c r="X57" s="586"/>
      <c r="Y57" s="580"/>
      <c r="Z57" s="580"/>
      <c r="AA57" s="580"/>
      <c r="AB57" s="472">
        <f t="shared" si="1"/>
        <v>0</v>
      </c>
      <c r="AC57" s="589"/>
      <c r="AD57" s="589"/>
      <c r="AE57" s="589"/>
      <c r="AF57" s="589"/>
      <c r="AG57" s="472">
        <f t="shared" si="2"/>
        <v>0</v>
      </c>
      <c r="AH57" s="567"/>
      <c r="AI57" s="567"/>
      <c r="AJ57" s="568"/>
      <c r="AK57" s="473" t="e">
        <f>VLOOKUP(G57,Paramétrage!$L$6:$M$12,2,0)</f>
        <v>#N/A</v>
      </c>
      <c r="AL57" s="712">
        <f t="shared" si="3"/>
        <v>0</v>
      </c>
      <c r="AM57" s="473">
        <f t="shared" si="4"/>
        <v>0</v>
      </c>
    </row>
    <row r="58" spans="1:39" x14ac:dyDescent="0.25">
      <c r="A58" s="822"/>
      <c r="B58" s="738"/>
      <c r="C58" s="739"/>
      <c r="D58" s="740"/>
      <c r="E58" s="585"/>
      <c r="F58" s="596"/>
      <c r="G58" s="598"/>
      <c r="H58" s="597"/>
      <c r="I58" s="599"/>
      <c r="J58" s="581"/>
      <c r="K58" s="600"/>
      <c r="L58" s="603"/>
      <c r="M58" s="588"/>
      <c r="N58" s="601"/>
      <c r="O58" s="602"/>
      <c r="P58" s="715">
        <f>IF(OR(M58="",J58=Paramétrage!$D$9,J58=Paramétrage!$D$12,J58=Paramétrage!$D$15,J58=Paramétrage!$D$18,J58=Paramétrage!$D$22,J58=Paramétrage!$D$25,AND(J58&lt;&gt;Paramétrage!$D$9,N58="Mut+ext")),0,ROUNDUP(L58/M58,0))</f>
        <v>0</v>
      </c>
      <c r="Q58" s="728">
        <f>IF(OR(J58="",N58="Mut+ext"),0,IF(VLOOKUP(J58,Paramétrage!$D$6:$F$29,3,0)=0,0,IF(M58="","saisir capacité",K58*P58*VLOOKUP(J58,Paramétrage!$D$6:$F$29,2,0))))</f>
        <v>0</v>
      </c>
      <c r="R58" s="721"/>
      <c r="S58" s="467">
        <f t="shared" si="5"/>
        <v>0</v>
      </c>
      <c r="T58" s="471">
        <f>IF(J58="",0,IF(ISERROR(R58+Q58*VLOOKUP(J58,Paramétrage!$D$6:$F$29,3,0))=TRUE,S58,R58+Q58*VLOOKUP(J58,Paramétrage!$D$6:$F$29,3,0)))</f>
        <v>0</v>
      </c>
      <c r="U58" s="580"/>
      <c r="V58" s="467">
        <f t="shared" si="6"/>
        <v>0</v>
      </c>
      <c r="W58" s="471">
        <f>IF(J58="",0,IF(ISERROR(U58+Q58*VLOOKUP(J58,Paramétrage!$D$6:$F$29,3,0))=TRUE,V58,U58+Q58*VLOOKUP(J58,Paramétrage!$D$6:$F$29,3,0)))</f>
        <v>0</v>
      </c>
      <c r="X58" s="586"/>
      <c r="Y58" s="580"/>
      <c r="Z58" s="580"/>
      <c r="AA58" s="580"/>
      <c r="AB58" s="472">
        <f t="shared" si="1"/>
        <v>0</v>
      </c>
      <c r="AC58" s="589"/>
      <c r="AD58" s="589"/>
      <c r="AE58" s="589"/>
      <c r="AF58" s="589"/>
      <c r="AG58" s="472">
        <f t="shared" si="2"/>
        <v>0</v>
      </c>
      <c r="AH58" s="567"/>
      <c r="AI58" s="567"/>
      <c r="AJ58" s="568"/>
      <c r="AK58" s="473" t="e">
        <f>VLOOKUP(G58,Paramétrage!$L$6:$M$12,2,0)</f>
        <v>#N/A</v>
      </c>
      <c r="AL58" s="712">
        <f t="shared" si="3"/>
        <v>0</v>
      </c>
      <c r="AM58" s="473">
        <f t="shared" si="4"/>
        <v>0</v>
      </c>
    </row>
    <row r="59" spans="1:39" x14ac:dyDescent="0.25">
      <c r="A59" s="822"/>
      <c r="B59" s="738"/>
      <c r="C59" s="739"/>
      <c r="D59" s="740"/>
      <c r="E59" s="585"/>
      <c r="F59" s="596"/>
      <c r="G59" s="598"/>
      <c r="H59" s="597"/>
      <c r="I59" s="599"/>
      <c r="J59" s="581"/>
      <c r="K59" s="600"/>
      <c r="L59" s="603"/>
      <c r="M59" s="588"/>
      <c r="N59" s="601"/>
      <c r="O59" s="602"/>
      <c r="P59" s="715">
        <f>IF(OR(M59="",J59=Paramétrage!$D$9,J59=Paramétrage!$D$12,J59=Paramétrage!$D$15,J59=Paramétrage!$D$18,J59=Paramétrage!$D$22,J59=Paramétrage!$D$25,AND(J59&lt;&gt;Paramétrage!$D$9,N59="Mut+ext")),0,ROUNDUP(L59/M59,0))</f>
        <v>0</v>
      </c>
      <c r="Q59" s="728">
        <f>IF(OR(J59="",N59="Mut+ext"),0,IF(VLOOKUP(J59,Paramétrage!$D$6:$F$29,3,0)=0,0,IF(M59="","saisir capacité",K59*P59*VLOOKUP(J59,Paramétrage!$D$6:$F$29,2,0))))</f>
        <v>0</v>
      </c>
      <c r="R59" s="721"/>
      <c r="S59" s="467">
        <f t="shared" si="5"/>
        <v>0</v>
      </c>
      <c r="T59" s="471">
        <f>IF(J59="",0,IF(ISERROR(R59+Q59*VLOOKUP(J59,Paramétrage!$D$6:$F$29,3,0))=TRUE,S59,R59+Q59*VLOOKUP(J59,Paramétrage!$D$6:$F$29,3,0)))</f>
        <v>0</v>
      </c>
      <c r="U59" s="580"/>
      <c r="V59" s="467">
        <f t="shared" si="6"/>
        <v>0</v>
      </c>
      <c r="W59" s="471">
        <f>IF(J59="",0,IF(ISERROR(U59+Q59*VLOOKUP(J59,Paramétrage!$D$6:$F$29,3,0))=TRUE,V59,U59+Q59*VLOOKUP(J59,Paramétrage!$D$6:$F$29,3,0)))</f>
        <v>0</v>
      </c>
      <c r="X59" s="586"/>
      <c r="Y59" s="580"/>
      <c r="Z59" s="580"/>
      <c r="AA59" s="580"/>
      <c r="AB59" s="472">
        <f t="shared" si="1"/>
        <v>0</v>
      </c>
      <c r="AC59" s="589"/>
      <c r="AD59" s="589"/>
      <c r="AE59" s="589"/>
      <c r="AF59" s="589"/>
      <c r="AG59" s="472">
        <f t="shared" si="2"/>
        <v>0</v>
      </c>
      <c r="AH59" s="567"/>
      <c r="AI59" s="567"/>
      <c r="AJ59" s="568"/>
      <c r="AK59" s="473" t="e">
        <f>VLOOKUP(G59,Paramétrage!$L$6:$M$12,2,0)</f>
        <v>#N/A</v>
      </c>
      <c r="AL59" s="712">
        <f t="shared" si="3"/>
        <v>0</v>
      </c>
      <c r="AM59" s="473">
        <f t="shared" si="4"/>
        <v>0</v>
      </c>
    </row>
    <row r="60" spans="1:39" x14ac:dyDescent="0.25">
      <c r="A60" s="822"/>
      <c r="B60" s="738"/>
      <c r="C60" s="739"/>
      <c r="D60" s="740"/>
      <c r="E60" s="585"/>
      <c r="F60" s="596"/>
      <c r="G60" s="598"/>
      <c r="H60" s="597"/>
      <c r="I60" s="599"/>
      <c r="J60" s="581"/>
      <c r="K60" s="600"/>
      <c r="L60" s="603"/>
      <c r="M60" s="588"/>
      <c r="N60" s="601"/>
      <c r="O60" s="602"/>
      <c r="P60" s="715">
        <f>IF(OR(M60="",J60=Paramétrage!$D$9,J60=Paramétrage!$D$12,J60=Paramétrage!$D$15,J60=Paramétrage!$D$18,J60=Paramétrage!$D$22,J60=Paramétrage!$D$25,AND(J60&lt;&gt;Paramétrage!$D$9,N60="Mut+ext")),0,ROUNDUP(L60/M60,0))</f>
        <v>0</v>
      </c>
      <c r="Q60" s="728">
        <f>IF(OR(J60="",N60="Mut+ext"),0,IF(VLOOKUP(J60,Paramétrage!$D$6:$F$29,3,0)=0,0,IF(M60="","saisir capacité",K60*P60*VLOOKUP(J60,Paramétrage!$D$6:$F$29,2,0))))</f>
        <v>0</v>
      </c>
      <c r="R60" s="721"/>
      <c r="S60" s="467">
        <f t="shared" si="5"/>
        <v>0</v>
      </c>
      <c r="T60" s="471">
        <f>IF(J60="",0,IF(ISERROR(R60+Q60*VLOOKUP(J60,Paramétrage!$D$6:$F$29,3,0))=TRUE,S60,R60+Q60*VLOOKUP(J60,Paramétrage!$D$6:$F$29,3,0)))</f>
        <v>0</v>
      </c>
      <c r="U60" s="580"/>
      <c r="V60" s="467">
        <f t="shared" si="6"/>
        <v>0</v>
      </c>
      <c r="W60" s="471">
        <f>IF(J60="",0,IF(ISERROR(U60+Q60*VLOOKUP(J60,Paramétrage!$D$6:$F$29,3,0))=TRUE,V60,U60+Q60*VLOOKUP(J60,Paramétrage!$D$6:$F$29,3,0)))</f>
        <v>0</v>
      </c>
      <c r="X60" s="586"/>
      <c r="Y60" s="580"/>
      <c r="Z60" s="580"/>
      <c r="AA60" s="580"/>
      <c r="AB60" s="472">
        <f t="shared" si="1"/>
        <v>0</v>
      </c>
      <c r="AC60" s="589"/>
      <c r="AD60" s="589"/>
      <c r="AE60" s="589"/>
      <c r="AF60" s="589"/>
      <c r="AG60" s="472">
        <f t="shared" si="2"/>
        <v>0</v>
      </c>
      <c r="AH60" s="567"/>
      <c r="AI60" s="567"/>
      <c r="AJ60" s="568"/>
      <c r="AK60" s="473" t="e">
        <f>VLOOKUP(G60,Paramétrage!$L$6:$M$12,2,0)</f>
        <v>#N/A</v>
      </c>
      <c r="AL60" s="712">
        <f t="shared" si="3"/>
        <v>0</v>
      </c>
      <c r="AM60" s="473">
        <f t="shared" si="4"/>
        <v>0</v>
      </c>
    </row>
    <row r="61" spans="1:39" x14ac:dyDescent="0.25">
      <c r="A61" s="822"/>
      <c r="B61" s="738"/>
      <c r="C61" s="739"/>
      <c r="D61" s="740"/>
      <c r="E61" s="585"/>
      <c r="F61" s="596"/>
      <c r="G61" s="598"/>
      <c r="H61" s="597"/>
      <c r="I61" s="599"/>
      <c r="J61" s="581"/>
      <c r="K61" s="600"/>
      <c r="L61" s="603"/>
      <c r="M61" s="588"/>
      <c r="N61" s="601"/>
      <c r="O61" s="602"/>
      <c r="P61" s="715">
        <f>IF(OR(M61="",J61=Paramétrage!$D$9,J61=Paramétrage!$D$12,J61=Paramétrage!$D$15,J61=Paramétrage!$D$18,J61=Paramétrage!$D$22,J61=Paramétrage!$D$25,AND(J61&lt;&gt;Paramétrage!$D$9,N61="Mut+ext")),0,ROUNDUP(L61/M61,0))</f>
        <v>0</v>
      </c>
      <c r="Q61" s="728">
        <f>IF(OR(J61="",N61="Mut+ext"),0,IF(VLOOKUP(J61,Paramétrage!$D$6:$F$29,3,0)=0,0,IF(M61="","saisir capacité",K61*P61*VLOOKUP(J61,Paramétrage!$D$6:$F$29,2,0))))</f>
        <v>0</v>
      </c>
      <c r="R61" s="721"/>
      <c r="S61" s="467">
        <f t="shared" si="5"/>
        <v>0</v>
      </c>
      <c r="T61" s="471">
        <f>IF(J61="",0,IF(ISERROR(R61+Q61*VLOOKUP(J61,Paramétrage!$D$6:$F$29,3,0))=TRUE,S61,R61+Q61*VLOOKUP(J61,Paramétrage!$D$6:$F$29,3,0)))</f>
        <v>0</v>
      </c>
      <c r="U61" s="580"/>
      <c r="V61" s="467">
        <f t="shared" si="6"/>
        <v>0</v>
      </c>
      <c r="W61" s="471">
        <f>IF(J61="",0,IF(ISERROR(U61+Q61*VLOOKUP(J61,Paramétrage!$D$6:$F$29,3,0))=TRUE,V61,U61+Q61*VLOOKUP(J61,Paramétrage!$D$6:$F$29,3,0)))</f>
        <v>0</v>
      </c>
      <c r="X61" s="586"/>
      <c r="Y61" s="580"/>
      <c r="Z61" s="580"/>
      <c r="AA61" s="580"/>
      <c r="AB61" s="472">
        <f t="shared" si="1"/>
        <v>0</v>
      </c>
      <c r="AC61" s="589"/>
      <c r="AD61" s="589"/>
      <c r="AE61" s="589"/>
      <c r="AF61" s="589"/>
      <c r="AG61" s="472">
        <f t="shared" si="2"/>
        <v>0</v>
      </c>
      <c r="AH61" s="567"/>
      <c r="AI61" s="567"/>
      <c r="AJ61" s="568"/>
      <c r="AK61" s="473" t="e">
        <f>VLOOKUP(G61,Paramétrage!$L$6:$M$12,2,0)</f>
        <v>#N/A</v>
      </c>
      <c r="AL61" s="712">
        <f t="shared" si="3"/>
        <v>0</v>
      </c>
      <c r="AM61" s="473">
        <f t="shared" si="4"/>
        <v>0</v>
      </c>
    </row>
    <row r="62" spans="1:39" x14ac:dyDescent="0.25">
      <c r="A62" s="822"/>
      <c r="B62" s="738"/>
      <c r="C62" s="739"/>
      <c r="D62" s="740"/>
      <c r="E62" s="585"/>
      <c r="F62" s="596"/>
      <c r="G62" s="598"/>
      <c r="H62" s="597"/>
      <c r="I62" s="599"/>
      <c r="J62" s="581"/>
      <c r="K62" s="600"/>
      <c r="L62" s="603"/>
      <c r="M62" s="588"/>
      <c r="N62" s="601"/>
      <c r="O62" s="602"/>
      <c r="P62" s="715">
        <f>IF(OR(M62="",J62=Paramétrage!$D$9,J62=Paramétrage!$D$12,J62=Paramétrage!$D$15,J62=Paramétrage!$D$18,J62=Paramétrage!$D$22,J62=Paramétrage!$D$25,AND(J62&lt;&gt;Paramétrage!$D$9,N62="Mut+ext")),0,ROUNDUP(L62/M62,0))</f>
        <v>0</v>
      </c>
      <c r="Q62" s="728">
        <f>IF(OR(J62="",N62="Mut+ext"),0,IF(VLOOKUP(J62,Paramétrage!$D$6:$F$29,3,0)=0,0,IF(M62="","saisir capacité",K62*P62*VLOOKUP(J62,Paramétrage!$D$6:$F$29,2,0))))</f>
        <v>0</v>
      </c>
      <c r="R62" s="721"/>
      <c r="S62" s="467">
        <f t="shared" si="5"/>
        <v>0</v>
      </c>
      <c r="T62" s="471">
        <f>IF(J62="",0,IF(ISERROR(R62+Q62*VLOOKUP(J62,Paramétrage!$D$6:$F$29,3,0))=TRUE,S62,R62+Q62*VLOOKUP(J62,Paramétrage!$D$6:$F$29,3,0)))</f>
        <v>0</v>
      </c>
      <c r="U62" s="580"/>
      <c r="V62" s="467">
        <f t="shared" si="6"/>
        <v>0</v>
      </c>
      <c r="W62" s="471">
        <f>IF(J62="",0,IF(ISERROR(U62+Q62*VLOOKUP(J62,Paramétrage!$D$6:$F$29,3,0))=TRUE,V62,U62+Q62*VLOOKUP(J62,Paramétrage!$D$6:$F$29,3,0)))</f>
        <v>0</v>
      </c>
      <c r="X62" s="586"/>
      <c r="Y62" s="580"/>
      <c r="Z62" s="580"/>
      <c r="AA62" s="580"/>
      <c r="AB62" s="472">
        <f t="shared" si="1"/>
        <v>0</v>
      </c>
      <c r="AC62" s="589"/>
      <c r="AD62" s="589"/>
      <c r="AE62" s="589"/>
      <c r="AF62" s="589"/>
      <c r="AG62" s="472">
        <f t="shared" si="2"/>
        <v>0</v>
      </c>
      <c r="AH62" s="567"/>
      <c r="AI62" s="567"/>
      <c r="AJ62" s="568"/>
      <c r="AK62" s="473" t="e">
        <f>VLOOKUP(G62,Paramétrage!$L$6:$M$12,2,0)</f>
        <v>#N/A</v>
      </c>
      <c r="AL62" s="712">
        <f t="shared" si="3"/>
        <v>0</v>
      </c>
      <c r="AM62" s="473">
        <f t="shared" si="4"/>
        <v>0</v>
      </c>
    </row>
    <row r="63" spans="1:39" x14ac:dyDescent="0.25">
      <c r="A63" s="822"/>
      <c r="B63" s="738"/>
      <c r="C63" s="739"/>
      <c r="D63" s="740"/>
      <c r="E63" s="585"/>
      <c r="F63" s="596"/>
      <c r="G63" s="598"/>
      <c r="H63" s="597"/>
      <c r="I63" s="599"/>
      <c r="J63" s="581"/>
      <c r="K63" s="600"/>
      <c r="L63" s="603"/>
      <c r="M63" s="588"/>
      <c r="N63" s="601"/>
      <c r="O63" s="602"/>
      <c r="P63" s="715">
        <f>IF(OR(M63="",J63=Paramétrage!$D$9,J63=Paramétrage!$D$12,J63=Paramétrage!$D$15,J63=Paramétrage!$D$18,J63=Paramétrage!$D$22,J63=Paramétrage!$D$25,AND(J63&lt;&gt;Paramétrage!$D$9,N63="Mut+ext")),0,ROUNDUP(L63/M63,0))</f>
        <v>0</v>
      </c>
      <c r="Q63" s="728">
        <f>IF(OR(J63="",N63="Mut+ext"),0,IF(VLOOKUP(J63,Paramétrage!$D$6:$F$29,3,0)=0,0,IF(M63="","saisir capacité",K63*P63*VLOOKUP(J63,Paramétrage!$D$6:$F$29,2,0))))</f>
        <v>0</v>
      </c>
      <c r="R63" s="721"/>
      <c r="S63" s="467">
        <f t="shared" si="5"/>
        <v>0</v>
      </c>
      <c r="T63" s="471">
        <f>IF(J63="",0,IF(ISERROR(R63+Q63*VLOOKUP(J63,Paramétrage!$D$6:$F$29,3,0))=TRUE,S63,R63+Q63*VLOOKUP(J63,Paramétrage!$D$6:$F$29,3,0)))</f>
        <v>0</v>
      </c>
      <c r="U63" s="580"/>
      <c r="V63" s="467">
        <f t="shared" si="6"/>
        <v>0</v>
      </c>
      <c r="W63" s="471">
        <f>IF(J63="",0,IF(ISERROR(U63+Q63*VLOOKUP(J63,Paramétrage!$D$6:$F$29,3,0))=TRUE,V63,U63+Q63*VLOOKUP(J63,Paramétrage!$D$6:$F$29,3,0)))</f>
        <v>0</v>
      </c>
      <c r="X63" s="586"/>
      <c r="Y63" s="580"/>
      <c r="Z63" s="580"/>
      <c r="AA63" s="580"/>
      <c r="AB63" s="472">
        <f t="shared" si="1"/>
        <v>0</v>
      </c>
      <c r="AC63" s="589"/>
      <c r="AD63" s="589"/>
      <c r="AE63" s="589"/>
      <c r="AF63" s="589"/>
      <c r="AG63" s="472">
        <f t="shared" si="2"/>
        <v>0</v>
      </c>
      <c r="AH63" s="567"/>
      <c r="AI63" s="567"/>
      <c r="AJ63" s="568"/>
      <c r="AK63" s="473" t="e">
        <f>VLOOKUP(G63,Paramétrage!$L$6:$M$12,2,0)</f>
        <v>#N/A</v>
      </c>
      <c r="AL63" s="712">
        <f t="shared" si="3"/>
        <v>0</v>
      </c>
      <c r="AM63" s="473">
        <f t="shared" si="4"/>
        <v>0</v>
      </c>
    </row>
    <row r="64" spans="1:39" x14ac:dyDescent="0.25">
      <c r="A64" s="822"/>
      <c r="B64" s="738"/>
      <c r="C64" s="739"/>
      <c r="D64" s="740"/>
      <c r="E64" s="585"/>
      <c r="F64" s="596"/>
      <c r="G64" s="598"/>
      <c r="H64" s="597"/>
      <c r="I64" s="599"/>
      <c r="J64" s="581"/>
      <c r="K64" s="600"/>
      <c r="L64" s="603"/>
      <c r="M64" s="588"/>
      <c r="N64" s="601"/>
      <c r="O64" s="602"/>
      <c r="P64" s="715">
        <f>IF(OR(M64="",J64=Paramétrage!$D$9,J64=Paramétrage!$D$12,J64=Paramétrage!$D$15,J64=Paramétrage!$D$18,J64=Paramétrage!$D$22,J64=Paramétrage!$D$25,AND(J64&lt;&gt;Paramétrage!$D$9,N64="Mut+ext")),0,ROUNDUP(L64/M64,0))</f>
        <v>0</v>
      </c>
      <c r="Q64" s="728">
        <f>IF(OR(J64="",N64="Mut+ext"),0,IF(VLOOKUP(J64,Paramétrage!$D$6:$F$29,3,0)=0,0,IF(M64="","saisir capacité",K64*P64*VLOOKUP(J64,Paramétrage!$D$6:$F$29,2,0))))</f>
        <v>0</v>
      </c>
      <c r="R64" s="721"/>
      <c r="S64" s="467">
        <f t="shared" si="5"/>
        <v>0</v>
      </c>
      <c r="T64" s="471">
        <f>IF(J64="",0,IF(ISERROR(R64+Q64*VLOOKUP(J64,Paramétrage!$D$6:$F$29,3,0))=TRUE,S64,R64+Q64*VLOOKUP(J64,Paramétrage!$D$6:$F$29,3,0)))</f>
        <v>0</v>
      </c>
      <c r="U64" s="580"/>
      <c r="V64" s="467">
        <f t="shared" si="6"/>
        <v>0</v>
      </c>
      <c r="W64" s="471">
        <f>IF(J64="",0,IF(ISERROR(U64+Q64*VLOOKUP(J64,Paramétrage!$D$6:$F$29,3,0))=TRUE,V64,U64+Q64*VLOOKUP(J64,Paramétrage!$D$6:$F$29,3,0)))</f>
        <v>0</v>
      </c>
      <c r="X64" s="586"/>
      <c r="Y64" s="580"/>
      <c r="Z64" s="580"/>
      <c r="AA64" s="580"/>
      <c r="AB64" s="472">
        <f t="shared" si="1"/>
        <v>0</v>
      </c>
      <c r="AC64" s="589"/>
      <c r="AD64" s="589"/>
      <c r="AE64" s="589"/>
      <c r="AF64" s="589"/>
      <c r="AG64" s="472">
        <f t="shared" si="2"/>
        <v>0</v>
      </c>
      <c r="AH64" s="567"/>
      <c r="AI64" s="567"/>
      <c r="AJ64" s="568"/>
      <c r="AK64" s="473" t="e">
        <f>VLOOKUP(G64,Paramétrage!$L$6:$M$12,2,0)</f>
        <v>#N/A</v>
      </c>
      <c r="AL64" s="712">
        <f t="shared" si="3"/>
        <v>0</v>
      </c>
      <c r="AM64" s="473">
        <f t="shared" si="4"/>
        <v>0</v>
      </c>
    </row>
    <row r="65" spans="1:39" x14ac:dyDescent="0.25">
      <c r="A65" s="822"/>
      <c r="B65" s="738"/>
      <c r="C65" s="739"/>
      <c r="D65" s="740"/>
      <c r="E65" s="585"/>
      <c r="F65" s="596"/>
      <c r="G65" s="598"/>
      <c r="H65" s="597"/>
      <c r="I65" s="599"/>
      <c r="J65" s="581"/>
      <c r="K65" s="600"/>
      <c r="L65" s="603"/>
      <c r="M65" s="588"/>
      <c r="N65" s="601"/>
      <c r="O65" s="602"/>
      <c r="P65" s="715">
        <f>IF(OR(M65="",J65=Paramétrage!$D$9,J65=Paramétrage!$D$12,J65=Paramétrage!$D$15,J65=Paramétrage!$D$18,J65=Paramétrage!$D$22,J65=Paramétrage!$D$25,AND(J65&lt;&gt;Paramétrage!$D$9,N65="Mut+ext")),0,ROUNDUP(L65/M65,0))</f>
        <v>0</v>
      </c>
      <c r="Q65" s="728">
        <f>IF(OR(J65="",N65="Mut+ext"),0,IF(VLOOKUP(J65,Paramétrage!$D$6:$F$29,3,0)=0,0,IF(M65="","saisir capacité",K65*P65*VLOOKUP(J65,Paramétrage!$D$6:$F$29,2,0))))</f>
        <v>0</v>
      </c>
      <c r="R65" s="721"/>
      <c r="S65" s="467">
        <f t="shared" si="5"/>
        <v>0</v>
      </c>
      <c r="T65" s="471">
        <f>IF(J65="",0,IF(ISERROR(R65+Q65*VLOOKUP(J65,Paramétrage!$D$6:$F$29,3,0))=TRUE,S65,R65+Q65*VLOOKUP(J65,Paramétrage!$D$6:$F$29,3,0)))</f>
        <v>0</v>
      </c>
      <c r="U65" s="580"/>
      <c r="V65" s="467">
        <f t="shared" si="6"/>
        <v>0</v>
      </c>
      <c r="W65" s="471">
        <f>IF(J65="",0,IF(ISERROR(U65+Q65*VLOOKUP(J65,Paramétrage!$D$6:$F$29,3,0))=TRUE,V65,U65+Q65*VLOOKUP(J65,Paramétrage!$D$6:$F$29,3,0)))</f>
        <v>0</v>
      </c>
      <c r="X65" s="586"/>
      <c r="Y65" s="580"/>
      <c r="Z65" s="580"/>
      <c r="AA65" s="580"/>
      <c r="AB65" s="472">
        <f t="shared" si="1"/>
        <v>0</v>
      </c>
      <c r="AC65" s="589"/>
      <c r="AD65" s="589"/>
      <c r="AE65" s="589"/>
      <c r="AF65" s="589"/>
      <c r="AG65" s="472">
        <f t="shared" si="2"/>
        <v>0</v>
      </c>
      <c r="AH65" s="567"/>
      <c r="AI65" s="567"/>
      <c r="AJ65" s="568"/>
      <c r="AK65" s="473" t="e">
        <f>VLOOKUP(G65,Paramétrage!$L$6:$M$12,2,0)</f>
        <v>#N/A</v>
      </c>
      <c r="AL65" s="712">
        <f t="shared" si="3"/>
        <v>0</v>
      </c>
      <c r="AM65" s="473">
        <f t="shared" si="4"/>
        <v>0</v>
      </c>
    </row>
    <row r="66" spans="1:39" x14ac:dyDescent="0.25">
      <c r="A66" s="822"/>
      <c r="B66" s="738"/>
      <c r="C66" s="739"/>
      <c r="D66" s="740"/>
      <c r="E66" s="585"/>
      <c r="F66" s="596"/>
      <c r="G66" s="598"/>
      <c r="H66" s="597"/>
      <c r="I66" s="599"/>
      <c r="J66" s="581"/>
      <c r="K66" s="600"/>
      <c r="L66" s="603"/>
      <c r="M66" s="588"/>
      <c r="N66" s="601"/>
      <c r="O66" s="602"/>
      <c r="P66" s="715">
        <f>IF(OR(M66="",J66=Paramétrage!$D$9,J66=Paramétrage!$D$12,J66=Paramétrage!$D$15,J66=Paramétrage!$D$18,J66=Paramétrage!$D$22,J66=Paramétrage!$D$25,AND(J66&lt;&gt;Paramétrage!$D$9,N66="Mut+ext")),0,ROUNDUP(L66/M66,0))</f>
        <v>0</v>
      </c>
      <c r="Q66" s="728">
        <f>IF(OR(J66="",N66="Mut+ext"),0,IF(VLOOKUP(J66,Paramétrage!$D$6:$F$29,3,0)=0,0,IF(M66="","saisir capacité",K66*P66*VLOOKUP(J66,Paramétrage!$D$6:$F$29,2,0))))</f>
        <v>0</v>
      </c>
      <c r="R66" s="721"/>
      <c r="S66" s="467">
        <f t="shared" si="5"/>
        <v>0</v>
      </c>
      <c r="T66" s="471">
        <f>IF(J66="",0,IF(ISERROR(R66+Q66*VLOOKUP(J66,Paramétrage!$D$6:$F$29,3,0))=TRUE,S66,R66+Q66*VLOOKUP(J66,Paramétrage!$D$6:$F$29,3,0)))</f>
        <v>0</v>
      </c>
      <c r="U66" s="580"/>
      <c r="V66" s="467">
        <f t="shared" si="6"/>
        <v>0</v>
      </c>
      <c r="W66" s="471">
        <f>IF(J66="",0,IF(ISERROR(U66+Q66*VLOOKUP(J66,Paramétrage!$D$6:$F$29,3,0))=TRUE,V66,U66+Q66*VLOOKUP(J66,Paramétrage!$D$6:$F$29,3,0)))</f>
        <v>0</v>
      </c>
      <c r="X66" s="586"/>
      <c r="Y66" s="580"/>
      <c r="Z66" s="580"/>
      <c r="AA66" s="580"/>
      <c r="AB66" s="472">
        <f t="shared" si="1"/>
        <v>0</v>
      </c>
      <c r="AC66" s="589"/>
      <c r="AD66" s="589"/>
      <c r="AE66" s="589"/>
      <c r="AF66" s="589"/>
      <c r="AG66" s="472">
        <f t="shared" si="2"/>
        <v>0</v>
      </c>
      <c r="AH66" s="567"/>
      <c r="AI66" s="567"/>
      <c r="AJ66" s="568"/>
      <c r="AK66" s="473" t="e">
        <f>VLOOKUP(G66,Paramétrage!$L$6:$M$12,2,0)</f>
        <v>#N/A</v>
      </c>
      <c r="AL66" s="712">
        <f t="shared" si="3"/>
        <v>0</v>
      </c>
      <c r="AM66" s="473">
        <f t="shared" si="4"/>
        <v>0</v>
      </c>
    </row>
    <row r="67" spans="1:39" x14ac:dyDescent="0.25">
      <c r="A67" s="822"/>
      <c r="B67" s="738"/>
      <c r="C67" s="739"/>
      <c r="D67" s="740"/>
      <c r="E67" s="585"/>
      <c r="F67" s="596"/>
      <c r="G67" s="598"/>
      <c r="H67" s="597"/>
      <c r="I67" s="599"/>
      <c r="J67" s="581"/>
      <c r="K67" s="600"/>
      <c r="L67" s="603"/>
      <c r="M67" s="588"/>
      <c r="N67" s="601"/>
      <c r="O67" s="602"/>
      <c r="P67" s="715">
        <f>IF(OR(M67="",J67=Paramétrage!$D$9,J67=Paramétrage!$D$12,J67=Paramétrage!$D$15,J67=Paramétrage!$D$18,J67=Paramétrage!$D$22,J67=Paramétrage!$D$25,AND(J67&lt;&gt;Paramétrage!$D$9,N67="Mut+ext")),0,ROUNDUP(L67/M67,0))</f>
        <v>0</v>
      </c>
      <c r="Q67" s="728">
        <f>IF(OR(J67="",N67="Mut+ext"),0,IF(VLOOKUP(J67,Paramétrage!$D$6:$F$29,3,0)=0,0,IF(M67="","saisir capacité",K67*P67*VLOOKUP(J67,Paramétrage!$D$6:$F$29,2,0))))</f>
        <v>0</v>
      </c>
      <c r="R67" s="721"/>
      <c r="S67" s="467">
        <f t="shared" si="5"/>
        <v>0</v>
      </c>
      <c r="T67" s="471">
        <f>IF(J67="",0,IF(ISERROR(R67+Q67*VLOOKUP(J67,Paramétrage!$D$6:$F$29,3,0))=TRUE,S67,R67+Q67*VLOOKUP(J67,Paramétrage!$D$6:$F$29,3,0)))</f>
        <v>0</v>
      </c>
      <c r="U67" s="580"/>
      <c r="V67" s="467">
        <f t="shared" si="6"/>
        <v>0</v>
      </c>
      <c r="W67" s="471">
        <f>IF(J67="",0,IF(ISERROR(U67+Q67*VLOOKUP(J67,Paramétrage!$D$6:$F$29,3,0))=TRUE,V67,U67+Q67*VLOOKUP(J67,Paramétrage!$D$6:$F$29,3,0)))</f>
        <v>0</v>
      </c>
      <c r="X67" s="586"/>
      <c r="Y67" s="580"/>
      <c r="Z67" s="580"/>
      <c r="AA67" s="580"/>
      <c r="AB67" s="472">
        <f t="shared" si="1"/>
        <v>0</v>
      </c>
      <c r="AC67" s="589"/>
      <c r="AD67" s="589"/>
      <c r="AE67" s="589"/>
      <c r="AF67" s="589"/>
      <c r="AG67" s="472">
        <f t="shared" si="2"/>
        <v>0</v>
      </c>
      <c r="AH67" s="567"/>
      <c r="AI67" s="567"/>
      <c r="AJ67" s="568"/>
      <c r="AK67" s="473" t="e">
        <f>VLOOKUP(G67,Paramétrage!$L$6:$M$12,2,0)</f>
        <v>#N/A</v>
      </c>
      <c r="AL67" s="712">
        <f t="shared" si="3"/>
        <v>0</v>
      </c>
      <c r="AM67" s="473">
        <f t="shared" si="4"/>
        <v>0</v>
      </c>
    </row>
    <row r="68" spans="1:39" x14ac:dyDescent="0.25">
      <c r="A68" s="822"/>
      <c r="B68" s="738"/>
      <c r="C68" s="739"/>
      <c r="D68" s="740"/>
      <c r="E68" s="585"/>
      <c r="F68" s="596"/>
      <c r="G68" s="598"/>
      <c r="H68" s="596"/>
      <c r="I68" s="599"/>
      <c r="J68" s="581"/>
      <c r="K68" s="600"/>
      <c r="L68" s="603"/>
      <c r="M68" s="588"/>
      <c r="N68" s="601"/>
      <c r="O68" s="602"/>
      <c r="P68" s="715">
        <f>IF(OR(M68="",J68=Paramétrage!$D$9,J68=Paramétrage!$D$12,J68=Paramétrage!$D$15,J68=Paramétrage!$D$18,J68=Paramétrage!$D$22,J68=Paramétrage!$D$25,AND(J68&lt;&gt;Paramétrage!$D$9,N68="Mut+ext")),0,ROUNDUP(L68/M68,0))</f>
        <v>0</v>
      </c>
      <c r="Q68" s="728">
        <f>IF(OR(J68="",N68="Mut+ext"),0,IF(VLOOKUP(J68,Paramétrage!$D$6:$F$29,3,0)=0,0,IF(M68="","saisir capacité",K68*P68*VLOOKUP(J68,Paramétrage!$D$6:$F$29,2,0))))</f>
        <v>0</v>
      </c>
      <c r="R68" s="721"/>
      <c r="S68" s="467">
        <f t="shared" si="5"/>
        <v>0</v>
      </c>
      <c r="T68" s="471">
        <f>IF(J68="",0,IF(ISERROR(R68+Q68*VLOOKUP(J68,Paramétrage!$D$6:$F$29,3,0))=TRUE,S68,R68+Q68*VLOOKUP(J68,Paramétrage!$D$6:$F$29,3,0)))</f>
        <v>0</v>
      </c>
      <c r="U68" s="580"/>
      <c r="V68" s="467">
        <f t="shared" si="6"/>
        <v>0</v>
      </c>
      <c r="W68" s="471">
        <f>IF(J68="",0,IF(ISERROR(U68+Q68*VLOOKUP(J68,Paramétrage!$D$6:$F$29,3,0))=TRUE,V68,U68+Q68*VLOOKUP(J68,Paramétrage!$D$6:$F$29,3,0)))</f>
        <v>0</v>
      </c>
      <c r="X68" s="586"/>
      <c r="Y68" s="580"/>
      <c r="Z68" s="580"/>
      <c r="AA68" s="580"/>
      <c r="AB68" s="472">
        <f t="shared" si="1"/>
        <v>0</v>
      </c>
      <c r="AC68" s="589"/>
      <c r="AD68" s="589"/>
      <c r="AE68" s="589"/>
      <c r="AF68" s="589"/>
      <c r="AG68" s="472">
        <f t="shared" si="2"/>
        <v>0</v>
      </c>
      <c r="AH68" s="567"/>
      <c r="AI68" s="567"/>
      <c r="AJ68" s="568"/>
      <c r="AK68" s="473" t="e">
        <f>VLOOKUP(G68,Paramétrage!$L$6:$M$12,2,0)</f>
        <v>#N/A</v>
      </c>
      <c r="AL68" s="712">
        <f t="shared" si="3"/>
        <v>0</v>
      </c>
      <c r="AM68" s="473">
        <f t="shared" si="4"/>
        <v>0</v>
      </c>
    </row>
    <row r="69" spans="1:39" x14ac:dyDescent="0.25">
      <c r="A69" s="822"/>
      <c r="B69" s="741"/>
      <c r="C69" s="742"/>
      <c r="D69" s="743"/>
      <c r="E69" s="609"/>
      <c r="F69" s="596"/>
      <c r="G69" s="598"/>
      <c r="H69" s="597"/>
      <c r="I69" s="599"/>
      <c r="J69" s="581"/>
      <c r="K69" s="600"/>
      <c r="L69" s="603"/>
      <c r="M69" s="588"/>
      <c r="N69" s="601"/>
      <c r="O69" s="602"/>
      <c r="P69" s="715">
        <f>IF(OR(M69="",J69=Paramétrage!$D$9,J69=Paramétrage!$D$12,J69=Paramétrage!$D$15,J69=Paramétrage!$D$18,J69=Paramétrage!$D$22,J69=Paramétrage!$D$25,AND(J69&lt;&gt;Paramétrage!$D$9,N69="Mut+ext")),0,ROUNDUP(L69/M69,0))</f>
        <v>0</v>
      </c>
      <c r="Q69" s="728">
        <f>IF(OR(J69="",N69="Mut+ext"),0,IF(VLOOKUP(J69,Paramétrage!$D$6:$F$29,3,0)=0,0,IF(M69="","saisir capacité",K69*P69*VLOOKUP(J69,Paramétrage!$D$6:$F$29,2,0))))</f>
        <v>0</v>
      </c>
      <c r="R69" s="721"/>
      <c r="S69" s="467">
        <f t="shared" si="5"/>
        <v>0</v>
      </c>
      <c r="T69" s="471">
        <f>IF(J69="",0,IF(ISERROR(R69+Q69*VLOOKUP(J69,Paramétrage!$D$6:$F$29,3,0))=TRUE,S69,R69+Q69*VLOOKUP(J69,Paramétrage!$D$6:$F$29,3,0)))</f>
        <v>0</v>
      </c>
      <c r="U69" s="580"/>
      <c r="V69" s="467">
        <f t="shared" si="6"/>
        <v>0</v>
      </c>
      <c r="W69" s="471">
        <f>IF(J69="",0,IF(ISERROR(U69+Q69*VLOOKUP(J69,Paramétrage!$D$6:$F$29,3,0))=TRUE,V69,U69+Q69*VLOOKUP(J69,Paramétrage!$D$6:$F$29,3,0)))</f>
        <v>0</v>
      </c>
      <c r="X69" s="586"/>
      <c r="Y69" s="580"/>
      <c r="Z69" s="580"/>
      <c r="AA69" s="580"/>
      <c r="AB69" s="478">
        <f t="shared" si="1"/>
        <v>0</v>
      </c>
      <c r="AC69" s="589"/>
      <c r="AD69" s="589"/>
      <c r="AE69" s="589"/>
      <c r="AF69" s="581"/>
      <c r="AG69" s="472">
        <f t="shared" si="2"/>
        <v>0</v>
      </c>
      <c r="AH69" s="815"/>
      <c r="AI69" s="815"/>
      <c r="AJ69" s="816"/>
      <c r="AK69" s="473" t="e">
        <f>VLOOKUP(G69,Paramétrage!$L$6:$M$12,2,0)</f>
        <v>#N/A</v>
      </c>
      <c r="AL69" s="712">
        <f t="shared" si="3"/>
        <v>0</v>
      </c>
      <c r="AM69" s="473">
        <f t="shared" si="4"/>
        <v>0</v>
      </c>
    </row>
    <row r="70" spans="1:39" ht="16" thickBot="1" x14ac:dyDescent="0.3">
      <c r="A70" s="823"/>
      <c r="B70" s="479"/>
      <c r="C70" s="480"/>
      <c r="D70" s="481"/>
      <c r="E70" s="482"/>
      <c r="F70" s="483"/>
      <c r="G70" s="484"/>
      <c r="H70" s="485"/>
      <c r="I70" s="7"/>
      <c r="J70" s="486"/>
      <c r="K70" s="487">
        <f>AL70</f>
        <v>120</v>
      </c>
      <c r="L70" s="488"/>
      <c r="M70" s="489"/>
      <c r="N70" s="9"/>
      <c r="O70" s="10"/>
      <c r="P70" s="716"/>
      <c r="Q70" s="729">
        <f>SUM(Q9:Q69)</f>
        <v>124</v>
      </c>
      <c r="R70" s="723">
        <f t="shared" ref="R70:AG70" si="7">SUM(R9:R69)</f>
        <v>0</v>
      </c>
      <c r="S70" s="492">
        <f>SUM(S9:S69)</f>
        <v>124</v>
      </c>
      <c r="T70" s="492">
        <f>SUM(T9:T69)</f>
        <v>124</v>
      </c>
      <c r="U70" s="491">
        <f t="shared" si="7"/>
        <v>0</v>
      </c>
      <c r="V70" s="492">
        <f>SUM(V9:V69)</f>
        <v>124</v>
      </c>
      <c r="W70" s="492">
        <f>SUM(W9:W69)</f>
        <v>124</v>
      </c>
      <c r="X70" s="490">
        <f t="shared" si="7"/>
        <v>18</v>
      </c>
      <c r="Y70" s="492">
        <f t="shared" si="7"/>
        <v>26</v>
      </c>
      <c r="Z70" s="492">
        <f t="shared" si="7"/>
        <v>34</v>
      </c>
      <c r="AA70" s="492">
        <f t="shared" si="7"/>
        <v>46</v>
      </c>
      <c r="AB70" s="492">
        <f>SUM(AB9:AB69)</f>
        <v>124</v>
      </c>
      <c r="AC70" s="490">
        <f t="shared" si="7"/>
        <v>0</v>
      </c>
      <c r="AD70" s="492">
        <f t="shared" si="7"/>
        <v>0</v>
      </c>
      <c r="AE70" s="491">
        <f t="shared" si="7"/>
        <v>0</v>
      </c>
      <c r="AF70" s="493">
        <f t="shared" si="7"/>
        <v>0</v>
      </c>
      <c r="AG70" s="494">
        <f t="shared" si="7"/>
        <v>0</v>
      </c>
      <c r="AH70" s="495"/>
      <c r="AI70" s="496"/>
      <c r="AJ70" s="497"/>
      <c r="AK70" s="8"/>
      <c r="AL70" s="11">
        <f>SUM(AL9:AL69)</f>
        <v>120</v>
      </c>
      <c r="AM70" s="8">
        <f>SUM(AM9:AM69)</f>
        <v>1320</v>
      </c>
    </row>
    <row r="71" spans="1:39" x14ac:dyDescent="0.25">
      <c r="A71" s="821" t="s">
        <v>212</v>
      </c>
      <c r="B71" s="734"/>
      <c r="C71" s="735"/>
      <c r="D71" s="736"/>
      <c r="E71" s="595"/>
      <c r="F71" s="596"/>
      <c r="G71" s="596"/>
      <c r="H71" s="597"/>
      <c r="I71" s="599"/>
      <c r="J71" s="581"/>
      <c r="K71" s="600"/>
      <c r="L71" s="603"/>
      <c r="M71" s="588"/>
      <c r="N71" s="601"/>
      <c r="O71" s="602"/>
      <c r="P71" s="715">
        <f>IF(OR(M71="",J71=Paramétrage!$D$9,J71=Paramétrage!$D$12,J71=Paramétrage!$D$15,J71=Paramétrage!$D$18,J71=Paramétrage!$D$22,J71=Paramétrage!$D$25,AND(J71&lt;&gt;Paramétrage!$D$9,N71="Mut+ext")),0,ROUNDUP(L71/M71,0))</f>
        <v>0</v>
      </c>
      <c r="Q71" s="728">
        <f>IF(OR(J71="",N71="Mut+ext"),0,IF(VLOOKUP(J71,Paramétrage!$D$6:$F$29,3,0)=0,0,IF(M71="","saisir capacité",K71*P71*VLOOKUP(J71,Paramétrage!$D$6:$F$29,2,0))))</f>
        <v>0</v>
      </c>
      <c r="R71" s="720"/>
      <c r="S71" s="467">
        <f t="shared" ref="S71:S131" si="8">IF(OR(J71="",N71="Mut+ext"),0,IF(ISERROR(Q71+R71)=TRUE,Q71,Q71+R71))</f>
        <v>0</v>
      </c>
      <c r="T71" s="468">
        <f>IF(J71="",0,IF(ISERROR(R71+Q71*VLOOKUP(J71,Paramétrage!$D$6:$F$29,3,0))=TRUE,S71,R71+Q71*VLOOKUP(J71,Paramétrage!$D$6:$F$29,3,0)))</f>
        <v>0</v>
      </c>
      <c r="U71" s="579"/>
      <c r="V71" s="467">
        <f t="shared" ref="V71:V131" si="9">IF(OR(J71="",N71="Mut+ext"),0,IF(ISERROR(Q71+U71)=TRUE,Q71,Q71+U71))</f>
        <v>0</v>
      </c>
      <c r="W71" s="468">
        <f>IF(J71="",0,IF(ISERROR(U71+Q71*VLOOKUP(J71,Paramétrage!$D$6:$F$29,3,0))=TRUE,V71,U71+Q71*VLOOKUP(J71,Paramétrage!$D$6:$F$29,3,0)))</f>
        <v>0</v>
      </c>
      <c r="X71" s="583"/>
      <c r="Y71" s="584"/>
      <c r="Z71" s="584"/>
      <c r="AA71" s="584"/>
      <c r="AB71" s="469">
        <f t="shared" ref="AB71:AB92" si="10">SUM(X71:AA71)</f>
        <v>0</v>
      </c>
      <c r="AC71" s="587"/>
      <c r="AD71" s="587"/>
      <c r="AE71" s="587"/>
      <c r="AF71" s="587"/>
      <c r="AG71" s="472">
        <f>SUM(AC71:AF71)</f>
        <v>0</v>
      </c>
      <c r="AH71" s="824"/>
      <c r="AI71" s="824"/>
      <c r="AJ71" s="825"/>
      <c r="AK71" s="473" t="e">
        <f>VLOOKUP(G71,Paramétrage!$L$6:$M$12,2,0)</f>
        <v>#N/A</v>
      </c>
      <c r="AL71" s="176">
        <f>IF(E71="",0,IF(H71="",0,IF(SUMIF($E$71:$E$131,E71,$L$71:$L$131)=0,0,IF(H71="Obligatoire",IF(L71=0,0,AM71/L71),IF(I71="",AM71/SUMIF($E$71:$E$131,E71,$L$71:$L$131),AM71/(SUMIF($E$71:$E$131,E71,$L$71:$L$131)/I71))))))</f>
        <v>0</v>
      </c>
      <c r="AM71" s="470">
        <f t="shared" ref="AM71:AM131" si="11">K71*L71</f>
        <v>0</v>
      </c>
    </row>
    <row r="72" spans="1:39" x14ac:dyDescent="0.25">
      <c r="A72" s="822"/>
      <c r="B72" s="734"/>
      <c r="C72" s="735"/>
      <c r="D72" s="736"/>
      <c r="E72" s="595"/>
      <c r="F72" s="596"/>
      <c r="G72" s="596"/>
      <c r="H72" s="597"/>
      <c r="I72" s="599"/>
      <c r="J72" s="581"/>
      <c r="K72" s="600"/>
      <c r="L72" s="603"/>
      <c r="M72" s="588"/>
      <c r="N72" s="601"/>
      <c r="O72" s="602"/>
      <c r="P72" s="715">
        <f>IF(OR(M72="",J72=Paramétrage!$D$9,J72=Paramétrage!$D$12,J72=Paramétrage!$D$15,J72=Paramétrage!$D$18,J72=Paramétrage!$D$22,J72=Paramétrage!$D$25,AND(J72&lt;&gt;Paramétrage!$D$9,N72="Mut+ext")),0,ROUNDUP(L72/M72,0))</f>
        <v>0</v>
      </c>
      <c r="Q72" s="728">
        <f>IF(OR(J72="",N72="Mut+ext"),0,IF(VLOOKUP(J72,Paramétrage!$D$6:$F$29,3,0)=0,0,IF(M72="","saisir capacité",K72*P72*VLOOKUP(J72,Paramétrage!$D$6:$F$29,2,0))))</f>
        <v>0</v>
      </c>
      <c r="R72" s="724"/>
      <c r="S72" s="467">
        <f t="shared" si="8"/>
        <v>0</v>
      </c>
      <c r="T72" s="471">
        <f>IF(J72="",0,IF(ISERROR(R72+Q72*VLOOKUP(J72,Paramétrage!$D$6:$F$29,3,0))=TRUE,S72,R72+Q72*VLOOKUP(J72,Paramétrage!$D$6:$F$29,3,0)))</f>
        <v>0</v>
      </c>
      <c r="U72" s="593"/>
      <c r="V72" s="467">
        <f t="shared" si="9"/>
        <v>0</v>
      </c>
      <c r="W72" s="471">
        <f>IF(J72="",0,IF(ISERROR(U72+Q72*VLOOKUP(J72,Paramétrage!$D$6:$F$29,3,0))=TRUE,V72,U72+Q72*VLOOKUP(J72,Paramétrage!$D$6:$F$29,3,0)))</f>
        <v>0</v>
      </c>
      <c r="X72" s="585"/>
      <c r="Y72" s="581"/>
      <c r="Z72" s="581"/>
      <c r="AA72" s="581"/>
      <c r="AB72" s="472">
        <f t="shared" si="10"/>
        <v>0</v>
      </c>
      <c r="AC72" s="588"/>
      <c r="AD72" s="588"/>
      <c r="AE72" s="588"/>
      <c r="AF72" s="588"/>
      <c r="AG72" s="472">
        <f t="shared" si="2"/>
        <v>0</v>
      </c>
      <c r="AH72" s="815"/>
      <c r="AI72" s="815"/>
      <c r="AJ72" s="816"/>
      <c r="AK72" s="473" t="e">
        <f>VLOOKUP(G72,Paramétrage!$L$6:$M$12,2,0)</f>
        <v>#N/A</v>
      </c>
      <c r="AL72" s="177">
        <f>IF(E72="",0,IF(H72="",0,IF(SUMIF($E$71:$E$131,E72,$L$71:$L$131)=0,0,IF(H72="Obligatoire",IF(L72=0,0,AM72/L72),IF(I72="",AM72/SUMIF($E$71:$E$131,E72,$L$71:$L$131),AM72/(SUMIF($E$71:$E$131,E72,$L$71:$L$131)/I72))))))</f>
        <v>0</v>
      </c>
      <c r="AM72" s="473">
        <f t="shared" si="11"/>
        <v>0</v>
      </c>
    </row>
    <row r="73" spans="1:39" x14ac:dyDescent="0.25">
      <c r="A73" s="822"/>
      <c r="B73" s="734"/>
      <c r="C73" s="735"/>
      <c r="D73" s="736"/>
      <c r="E73" s="595"/>
      <c r="F73" s="596"/>
      <c r="G73" s="596"/>
      <c r="H73" s="597"/>
      <c r="I73" s="599"/>
      <c r="J73" s="581"/>
      <c r="K73" s="600"/>
      <c r="L73" s="603"/>
      <c r="M73" s="588"/>
      <c r="N73" s="601"/>
      <c r="O73" s="602"/>
      <c r="P73" s="715">
        <f>IF(OR(M73="",J73=Paramétrage!$D$9,J73=Paramétrage!$D$12,J73=Paramétrage!$D$15,J73=Paramétrage!$D$18,J73=Paramétrage!$D$22,J73=Paramétrage!$D$25,AND(J73&lt;&gt;Paramétrage!$D$9,N73="Mut+ext")),0,ROUNDUP(L73/M73,0))</f>
        <v>0</v>
      </c>
      <c r="Q73" s="728">
        <f>IF(OR(J73="",N73="Mut+ext"),0,IF(VLOOKUP(J73,Paramétrage!$D$6:$F$29,3,0)=0,0,IF(M73="","saisir capacité",K73*P73*VLOOKUP(J73,Paramétrage!$D$6:$F$29,2,0))))</f>
        <v>0</v>
      </c>
      <c r="R73" s="725"/>
      <c r="S73" s="467">
        <f t="shared" si="8"/>
        <v>0</v>
      </c>
      <c r="T73" s="471">
        <f>IF(J73="",0,IF(ISERROR(R73+Q73*VLOOKUP(J73,Paramétrage!$D$6:$F$29,3,0))=TRUE,S73,R73+Q73*VLOOKUP(J73,Paramétrage!$D$6:$F$29,3,0)))</f>
        <v>0</v>
      </c>
      <c r="U73" s="594"/>
      <c r="V73" s="467">
        <f t="shared" si="9"/>
        <v>0</v>
      </c>
      <c r="W73" s="471">
        <f>IF(J73="",0,IF(ISERROR(U73+Q73*VLOOKUP(J73,Paramétrage!$D$6:$F$29,3,0))=TRUE,V73,U73+Q73*VLOOKUP(J73,Paramétrage!$D$6:$F$29,3,0)))</f>
        <v>0</v>
      </c>
      <c r="X73" s="585"/>
      <c r="Y73" s="581"/>
      <c r="Z73" s="581"/>
      <c r="AA73" s="581"/>
      <c r="AB73" s="472">
        <f t="shared" si="10"/>
        <v>0</v>
      </c>
      <c r="AC73" s="588"/>
      <c r="AD73" s="588"/>
      <c r="AE73" s="588"/>
      <c r="AF73" s="588"/>
      <c r="AG73" s="472">
        <f t="shared" si="2"/>
        <v>0</v>
      </c>
      <c r="AH73" s="815"/>
      <c r="AI73" s="815"/>
      <c r="AJ73" s="816"/>
      <c r="AK73" s="473" t="e">
        <f>VLOOKUP(G73,Paramétrage!$L$6:$M$12,2,0)</f>
        <v>#N/A</v>
      </c>
      <c r="AL73" s="177">
        <f t="shared" ref="AL73:AL131" si="12">IF(E73="",0,IF(H73="",0,IF(SUMIF($E$71:$E$131,E73,$L$71:$L$131)=0,0,IF(H73="Obligatoire",IF(L73=0,0,AM73/L73),IF(I73="",AM73/SUMIF($E$71:$E$131,E73,$L$71:$L$131),AM73/(SUMIF($E$71:$E$131,E73,$L$71:$L$131)/I73))))))</f>
        <v>0</v>
      </c>
      <c r="AM73" s="473">
        <f>K73*L73</f>
        <v>0</v>
      </c>
    </row>
    <row r="74" spans="1:39" x14ac:dyDescent="0.25">
      <c r="A74" s="822"/>
      <c r="B74" s="734"/>
      <c r="C74" s="735"/>
      <c r="D74" s="736"/>
      <c r="E74" s="595"/>
      <c r="F74" s="596"/>
      <c r="G74" s="596"/>
      <c r="H74" s="597"/>
      <c r="I74" s="599"/>
      <c r="J74" s="581"/>
      <c r="K74" s="600"/>
      <c r="L74" s="603"/>
      <c r="M74" s="588"/>
      <c r="N74" s="601"/>
      <c r="O74" s="602"/>
      <c r="P74" s="715">
        <f>IF(OR(M74="",J74=Paramétrage!$D$9,J74=Paramétrage!$D$12,J74=Paramétrage!$D$15,J74=Paramétrage!$D$18,J74=Paramétrage!$D$22,J74=Paramétrage!$D$25,AND(J74&lt;&gt;Paramétrage!$D$9,N74="Mut+ext")),0,ROUNDUP(L74/M74,0))</f>
        <v>0</v>
      </c>
      <c r="Q74" s="728">
        <f>IF(OR(J74="",N74="Mut+ext"),0,IF(VLOOKUP(J74,Paramétrage!$D$6:$F$29,3,0)=0,0,IF(M74="","saisir capacité",K74*P74*VLOOKUP(J74,Paramétrage!$D$6:$F$29,2,0))))</f>
        <v>0</v>
      </c>
      <c r="R74" s="725"/>
      <c r="S74" s="467">
        <f t="shared" si="8"/>
        <v>0</v>
      </c>
      <c r="T74" s="471">
        <f>IF(J74="",0,IF(ISERROR(R74+Q74*VLOOKUP(J74,Paramétrage!$D$6:$F$29,3,0))=TRUE,S74,R74+Q74*VLOOKUP(J74,Paramétrage!$D$6:$F$29,3,0)))</f>
        <v>0</v>
      </c>
      <c r="U74" s="594"/>
      <c r="V74" s="467">
        <f t="shared" si="9"/>
        <v>0</v>
      </c>
      <c r="W74" s="471">
        <f>IF(J74="",0,IF(ISERROR(U74+Q74*VLOOKUP(J74,Paramétrage!$D$6:$F$29,3,0))=TRUE,V74,U74+Q74*VLOOKUP(J74,Paramétrage!$D$6:$F$29,3,0)))</f>
        <v>0</v>
      </c>
      <c r="X74" s="585"/>
      <c r="Y74" s="581"/>
      <c r="Z74" s="581"/>
      <c r="AA74" s="581"/>
      <c r="AB74" s="472">
        <f t="shared" si="10"/>
        <v>0</v>
      </c>
      <c r="AC74" s="588"/>
      <c r="AD74" s="588"/>
      <c r="AE74" s="588"/>
      <c r="AF74" s="588"/>
      <c r="AG74" s="472">
        <f t="shared" si="2"/>
        <v>0</v>
      </c>
      <c r="AH74" s="815"/>
      <c r="AI74" s="815"/>
      <c r="AJ74" s="816"/>
      <c r="AK74" s="473" t="e">
        <f>VLOOKUP(G74,Paramétrage!$L$6:$M$12,2,0)</f>
        <v>#N/A</v>
      </c>
      <c r="AL74" s="177">
        <f t="shared" si="12"/>
        <v>0</v>
      </c>
      <c r="AM74" s="473">
        <f>K74*L74</f>
        <v>0</v>
      </c>
    </row>
    <row r="75" spans="1:39" x14ac:dyDescent="0.25">
      <c r="A75" s="822"/>
      <c r="B75" s="734"/>
      <c r="C75" s="735"/>
      <c r="D75" s="736"/>
      <c r="E75" s="595"/>
      <c r="F75" s="596"/>
      <c r="G75" s="596"/>
      <c r="H75" s="597"/>
      <c r="I75" s="599"/>
      <c r="J75" s="581"/>
      <c r="K75" s="600"/>
      <c r="L75" s="603"/>
      <c r="M75" s="588"/>
      <c r="N75" s="601"/>
      <c r="O75" s="602"/>
      <c r="P75" s="715">
        <f>IF(OR(M75="",J75=Paramétrage!$D$9,J75=Paramétrage!$D$12,J75=Paramétrage!$D$15,J75=Paramétrage!$D$18,J75=Paramétrage!$D$22,J75=Paramétrage!$D$25,AND(J75&lt;&gt;Paramétrage!$D$9,N75="Mut+ext")),0,ROUNDUP(L75/M75,0))</f>
        <v>0</v>
      </c>
      <c r="Q75" s="728">
        <f>IF(OR(J75="",N75="Mut+ext"),0,IF(VLOOKUP(J75,Paramétrage!$D$6:$F$29,3,0)=0,0,IF(M75="","saisir capacité",K75*P75*VLOOKUP(J75,Paramétrage!$D$6:$F$29,2,0))))</f>
        <v>0</v>
      </c>
      <c r="R75" s="725"/>
      <c r="S75" s="467">
        <f t="shared" si="8"/>
        <v>0</v>
      </c>
      <c r="T75" s="471">
        <f>IF(J75="",0,IF(ISERROR(R75+Q75*VLOOKUP(J75,Paramétrage!$D$6:$F$29,3,0))=TRUE,S75,R75+Q75*VLOOKUP(J75,Paramétrage!$D$6:$F$29,3,0)))</f>
        <v>0</v>
      </c>
      <c r="U75" s="594"/>
      <c r="V75" s="467">
        <f t="shared" si="9"/>
        <v>0</v>
      </c>
      <c r="W75" s="471">
        <f>IF(J75="",0,IF(ISERROR(U75+Q75*VLOOKUP(J75,Paramétrage!$D$6:$F$29,3,0))=TRUE,V75,U75+Q75*VLOOKUP(J75,Paramétrage!$D$6:$F$29,3,0)))</f>
        <v>0</v>
      </c>
      <c r="X75" s="590"/>
      <c r="Y75" s="591"/>
      <c r="Z75" s="591"/>
      <c r="AA75" s="581"/>
      <c r="AB75" s="472">
        <f t="shared" si="10"/>
        <v>0</v>
      </c>
      <c r="AC75" s="588"/>
      <c r="AD75" s="588"/>
      <c r="AE75" s="588"/>
      <c r="AF75" s="588"/>
      <c r="AG75" s="472">
        <f t="shared" si="2"/>
        <v>0</v>
      </c>
      <c r="AH75" s="815"/>
      <c r="AI75" s="815"/>
      <c r="AJ75" s="816"/>
      <c r="AK75" s="473" t="e">
        <f>VLOOKUP(G75,Paramétrage!$L$6:$M$12,2,0)</f>
        <v>#N/A</v>
      </c>
      <c r="AL75" s="177">
        <f t="shared" si="12"/>
        <v>0</v>
      </c>
      <c r="AM75" s="473">
        <f>K75*L75</f>
        <v>0</v>
      </c>
    </row>
    <row r="76" spans="1:39" x14ac:dyDescent="0.25">
      <c r="A76" s="822"/>
      <c r="B76" s="734"/>
      <c r="C76" s="735"/>
      <c r="D76" s="736"/>
      <c r="E76" s="595"/>
      <c r="F76" s="596"/>
      <c r="G76" s="596"/>
      <c r="H76" s="597"/>
      <c r="I76" s="599"/>
      <c r="J76" s="581"/>
      <c r="K76" s="600"/>
      <c r="L76" s="603"/>
      <c r="M76" s="588"/>
      <c r="N76" s="601"/>
      <c r="O76" s="602"/>
      <c r="P76" s="715">
        <f>IF(OR(M76="",J76=Paramétrage!$D$9,J76=Paramétrage!$D$12,J76=Paramétrage!$D$15,J76=Paramétrage!$D$18,J76=Paramétrage!$D$22,J76=Paramétrage!$D$25,AND(J76&lt;&gt;Paramétrage!$D$9,N76="Mut+ext")),0,ROUNDUP(L76/M76,0))</f>
        <v>0</v>
      </c>
      <c r="Q76" s="728">
        <f>IF(OR(J76="",N76="Mut+ext"),0,IF(VLOOKUP(J76,Paramétrage!$D$6:$F$29,3,0)=0,0,IF(M76="","saisir capacité",K76*P76*VLOOKUP(J76,Paramétrage!$D$6:$F$29,2,0))))</f>
        <v>0</v>
      </c>
      <c r="R76" s="721"/>
      <c r="S76" s="467">
        <f t="shared" si="8"/>
        <v>0</v>
      </c>
      <c r="T76" s="471">
        <f>IF(J76="",0,IF(ISERROR(R76+Q76*VLOOKUP(J76,Paramétrage!$D$6:$F$29,3,0))=TRUE,S76,R76+Q76*VLOOKUP(J76,Paramétrage!$D$6:$F$29,3,0)))</f>
        <v>0</v>
      </c>
      <c r="U76" s="580"/>
      <c r="V76" s="467">
        <f t="shared" si="9"/>
        <v>0</v>
      </c>
      <c r="W76" s="471">
        <f>IF(J76="",0,IF(ISERROR(U76+Q76*VLOOKUP(J76,Paramétrage!$D$6:$F$29,3,0))=TRUE,V76,U76+Q76*VLOOKUP(J76,Paramétrage!$D$6:$F$29,3,0)))</f>
        <v>0</v>
      </c>
      <c r="X76" s="585"/>
      <c r="Y76" s="581"/>
      <c r="Z76" s="581"/>
      <c r="AA76" s="581"/>
      <c r="AB76" s="472">
        <f t="shared" si="10"/>
        <v>0</v>
      </c>
      <c r="AC76" s="588"/>
      <c r="AD76" s="588"/>
      <c r="AE76" s="588"/>
      <c r="AF76" s="588"/>
      <c r="AG76" s="472">
        <f t="shared" si="2"/>
        <v>0</v>
      </c>
      <c r="AH76" s="815"/>
      <c r="AI76" s="815"/>
      <c r="AJ76" s="816"/>
      <c r="AK76" s="473" t="e">
        <f>VLOOKUP(G76,Paramétrage!$L$6:$M$12,2,0)</f>
        <v>#N/A</v>
      </c>
      <c r="AL76" s="177">
        <f t="shared" si="12"/>
        <v>0</v>
      </c>
      <c r="AM76" s="473">
        <f t="shared" si="11"/>
        <v>0</v>
      </c>
    </row>
    <row r="77" spans="1:39" x14ac:dyDescent="0.25">
      <c r="A77" s="822"/>
      <c r="B77" s="734"/>
      <c r="C77" s="735"/>
      <c r="D77" s="736"/>
      <c r="E77" s="595"/>
      <c r="F77" s="596"/>
      <c r="G77" s="596"/>
      <c r="H77" s="597"/>
      <c r="I77" s="599"/>
      <c r="J77" s="581"/>
      <c r="K77" s="600"/>
      <c r="L77" s="603"/>
      <c r="M77" s="588"/>
      <c r="N77" s="601"/>
      <c r="O77" s="602"/>
      <c r="P77" s="715">
        <f>IF(OR(M77="",J77=Paramétrage!$D$9,J77=Paramétrage!$D$12,J77=Paramétrage!$D$15,J77=Paramétrage!$D$18,J77=Paramétrage!$D$22,J77=Paramétrage!$D$25,AND(J77&lt;&gt;Paramétrage!$D$9,N77="Mut+ext")),0,ROUNDUP(L77/M77,0))</f>
        <v>0</v>
      </c>
      <c r="Q77" s="728">
        <f>IF(OR(J77="",N77="Mut+ext"),0,IF(VLOOKUP(J77,Paramétrage!$D$6:$F$29,3,0)=0,0,IF(M77="","saisir capacité",K77*P77*VLOOKUP(J77,Paramétrage!$D$6:$F$29,2,0))))</f>
        <v>0</v>
      </c>
      <c r="R77" s="721"/>
      <c r="S77" s="467">
        <f t="shared" si="8"/>
        <v>0</v>
      </c>
      <c r="T77" s="471">
        <f>IF(J77="",0,IF(ISERROR(R77+Q77*VLOOKUP(J77,Paramétrage!$D$6:$F$29,3,0))=TRUE,S77,R77+Q77*VLOOKUP(J77,Paramétrage!$D$6:$F$29,3,0)))</f>
        <v>0</v>
      </c>
      <c r="U77" s="580"/>
      <c r="V77" s="467">
        <f t="shared" si="9"/>
        <v>0</v>
      </c>
      <c r="W77" s="471">
        <f>IF(J77="",0,IF(ISERROR(U77+Q77*VLOOKUP(J77,Paramétrage!$D$6:$F$29,3,0))=TRUE,V77,U77+Q77*VLOOKUP(J77,Paramétrage!$D$6:$F$29,3,0)))</f>
        <v>0</v>
      </c>
      <c r="X77" s="585"/>
      <c r="Y77" s="581"/>
      <c r="Z77" s="581"/>
      <c r="AA77" s="581"/>
      <c r="AB77" s="472">
        <f t="shared" si="10"/>
        <v>0</v>
      </c>
      <c r="AC77" s="588"/>
      <c r="AD77" s="588"/>
      <c r="AE77" s="588"/>
      <c r="AF77" s="588"/>
      <c r="AG77" s="472">
        <f t="shared" si="2"/>
        <v>0</v>
      </c>
      <c r="AH77" s="815"/>
      <c r="AI77" s="815"/>
      <c r="AJ77" s="816"/>
      <c r="AK77" s="473" t="e">
        <f>VLOOKUP(G77,Paramétrage!$L$6:$M$12,2,0)</f>
        <v>#N/A</v>
      </c>
      <c r="AL77" s="177">
        <f t="shared" si="12"/>
        <v>0</v>
      </c>
      <c r="AM77" s="473">
        <f t="shared" si="11"/>
        <v>0</v>
      </c>
    </row>
    <row r="78" spans="1:39" x14ac:dyDescent="0.25">
      <c r="A78" s="822"/>
      <c r="B78" s="734"/>
      <c r="C78" s="735"/>
      <c r="D78" s="736"/>
      <c r="E78" s="595"/>
      <c r="F78" s="596"/>
      <c r="G78" s="596"/>
      <c r="H78" s="597"/>
      <c r="I78" s="599"/>
      <c r="J78" s="581"/>
      <c r="K78" s="600"/>
      <c r="L78" s="603"/>
      <c r="M78" s="588"/>
      <c r="N78" s="601"/>
      <c r="O78" s="602"/>
      <c r="P78" s="715">
        <f>IF(OR(M78="",J78=Paramétrage!$D$9,J78=Paramétrage!$D$12,J78=Paramétrage!$D$15,J78=Paramétrage!$D$18,J78=Paramétrage!$D$22,J78=Paramétrage!$D$25,AND(J78&lt;&gt;Paramétrage!$D$9,N78="Mut+ext")),0,ROUNDUP(L78/M78,0))</f>
        <v>0</v>
      </c>
      <c r="Q78" s="728">
        <f>IF(OR(J78="",N78="Mut+ext"),0,IF(VLOOKUP(J78,Paramétrage!$D$6:$F$29,3,0)=0,0,IF(M78="","saisir capacité",K78*P78*VLOOKUP(J78,Paramétrage!$D$6:$F$29,2,0))))</f>
        <v>0</v>
      </c>
      <c r="R78" s="721"/>
      <c r="S78" s="467">
        <f t="shared" si="8"/>
        <v>0</v>
      </c>
      <c r="T78" s="471">
        <f>IF(J78="",0,IF(ISERROR(R78+Q78*VLOOKUP(J78,Paramétrage!$D$6:$F$29,3,0))=TRUE,S78,R78+Q78*VLOOKUP(J78,Paramétrage!$D$6:$F$29,3,0)))</f>
        <v>0</v>
      </c>
      <c r="U78" s="580"/>
      <c r="V78" s="467">
        <f t="shared" si="9"/>
        <v>0</v>
      </c>
      <c r="W78" s="471">
        <f>IF(J78="",0,IF(ISERROR(U78+Q78*VLOOKUP(J78,Paramétrage!$D$6:$F$29,3,0))=TRUE,V78,U78+Q78*VLOOKUP(J78,Paramétrage!$D$6:$F$29,3,0)))</f>
        <v>0</v>
      </c>
      <c r="X78" s="585"/>
      <c r="Y78" s="581"/>
      <c r="Z78" s="581"/>
      <c r="AA78" s="581"/>
      <c r="AB78" s="472">
        <f t="shared" si="10"/>
        <v>0</v>
      </c>
      <c r="AC78" s="588"/>
      <c r="AD78" s="588"/>
      <c r="AE78" s="588"/>
      <c r="AF78" s="588"/>
      <c r="AG78" s="472">
        <f t="shared" si="2"/>
        <v>0</v>
      </c>
      <c r="AH78" s="815"/>
      <c r="AI78" s="815"/>
      <c r="AJ78" s="816"/>
      <c r="AK78" s="473" t="e">
        <f>VLOOKUP(G78,Paramétrage!$L$6:$M$12,2,0)</f>
        <v>#N/A</v>
      </c>
      <c r="AL78" s="177">
        <f t="shared" si="12"/>
        <v>0</v>
      </c>
      <c r="AM78" s="473">
        <f t="shared" si="11"/>
        <v>0</v>
      </c>
    </row>
    <row r="79" spans="1:39" x14ac:dyDescent="0.25">
      <c r="A79" s="822"/>
      <c r="B79" s="734"/>
      <c r="C79" s="735"/>
      <c r="D79" s="736"/>
      <c r="E79" s="595"/>
      <c r="F79" s="596"/>
      <c r="G79" s="596"/>
      <c r="H79" s="597"/>
      <c r="I79" s="599"/>
      <c r="J79" s="581"/>
      <c r="K79" s="600"/>
      <c r="L79" s="603"/>
      <c r="M79" s="588"/>
      <c r="N79" s="601"/>
      <c r="O79" s="602"/>
      <c r="P79" s="715">
        <f>IF(OR(M79="",J79=Paramétrage!$D$9,J79=Paramétrage!$D$12,J79=Paramétrage!$D$15,J79=Paramétrage!$D$18,J79=Paramétrage!$D$22,J79=Paramétrage!$D$25,AND(J79&lt;&gt;Paramétrage!$D$9,N79="Mut+ext")),0,ROUNDUP(L79/M79,0))</f>
        <v>0</v>
      </c>
      <c r="Q79" s="728">
        <f>IF(OR(J79="",N79="Mut+ext"),0,IF(VLOOKUP(J79,Paramétrage!$D$6:$F$29,3,0)=0,0,IF(M79="","saisir capacité",K79*P79*VLOOKUP(J79,Paramétrage!$D$6:$F$29,2,0))))</f>
        <v>0</v>
      </c>
      <c r="R79" s="721"/>
      <c r="S79" s="467">
        <f t="shared" si="8"/>
        <v>0</v>
      </c>
      <c r="T79" s="471">
        <f>IF(J79="",0,IF(ISERROR(R79+Q79*VLOOKUP(J79,Paramétrage!$D$6:$F$29,3,0))=TRUE,S79,R79+Q79*VLOOKUP(J79,Paramétrage!$D$6:$F$29,3,0)))</f>
        <v>0</v>
      </c>
      <c r="U79" s="580"/>
      <c r="V79" s="467">
        <f t="shared" si="9"/>
        <v>0</v>
      </c>
      <c r="W79" s="471">
        <f>IF(J79="",0,IF(ISERROR(U79+Q79*VLOOKUP(J79,Paramétrage!$D$6:$F$29,3,0))=TRUE,V79,U79+Q79*VLOOKUP(J79,Paramétrage!$D$6:$F$29,3,0)))</f>
        <v>0</v>
      </c>
      <c r="X79" s="585"/>
      <c r="Y79" s="581"/>
      <c r="Z79" s="581"/>
      <c r="AA79" s="581"/>
      <c r="AB79" s="472">
        <f t="shared" si="10"/>
        <v>0</v>
      </c>
      <c r="AC79" s="588"/>
      <c r="AD79" s="588"/>
      <c r="AE79" s="588"/>
      <c r="AF79" s="588"/>
      <c r="AG79" s="472">
        <f t="shared" si="2"/>
        <v>0</v>
      </c>
      <c r="AH79" s="815"/>
      <c r="AI79" s="815"/>
      <c r="AJ79" s="816"/>
      <c r="AK79" s="473" t="e">
        <f>VLOOKUP(G79,Paramétrage!$L$6:$M$12,2,0)</f>
        <v>#N/A</v>
      </c>
      <c r="AL79" s="177">
        <f t="shared" si="12"/>
        <v>0</v>
      </c>
      <c r="AM79" s="473">
        <f t="shared" si="11"/>
        <v>0</v>
      </c>
    </row>
    <row r="80" spans="1:39" x14ac:dyDescent="0.25">
      <c r="A80" s="822"/>
      <c r="B80" s="734"/>
      <c r="C80" s="735"/>
      <c r="D80" s="736"/>
      <c r="E80" s="595"/>
      <c r="F80" s="596"/>
      <c r="G80" s="596"/>
      <c r="H80" s="597"/>
      <c r="I80" s="599"/>
      <c r="J80" s="581"/>
      <c r="K80" s="600"/>
      <c r="L80" s="603"/>
      <c r="M80" s="588"/>
      <c r="N80" s="601"/>
      <c r="O80" s="602"/>
      <c r="P80" s="715">
        <f>IF(OR(M80="",J80=Paramétrage!$D$9,J80=Paramétrage!$D$12,J80=Paramétrage!$D$15,J80=Paramétrage!$D$18,J80=Paramétrage!$D$22,J80=Paramétrage!$D$25,AND(J80&lt;&gt;Paramétrage!$D$9,N80="Mut+ext")),0,ROUNDUP(L80/M80,0))</f>
        <v>0</v>
      </c>
      <c r="Q80" s="728">
        <f>IF(OR(J80="",N80="Mut+ext"),0,IF(VLOOKUP(J80,Paramétrage!$D$6:$F$29,3,0)=0,0,IF(M80="","saisir capacité",K80*P80*VLOOKUP(J80,Paramétrage!$D$6:$F$29,2,0))))</f>
        <v>0</v>
      </c>
      <c r="R80" s="721"/>
      <c r="S80" s="467">
        <f t="shared" si="8"/>
        <v>0</v>
      </c>
      <c r="T80" s="471">
        <f>IF(J80="",0,IF(ISERROR(R80+Q80*VLOOKUP(J80,Paramétrage!$D$6:$F$29,3,0))=TRUE,S80,R80+Q80*VLOOKUP(J80,Paramétrage!$D$6:$F$29,3,0)))</f>
        <v>0</v>
      </c>
      <c r="U80" s="580"/>
      <c r="V80" s="467">
        <f t="shared" si="9"/>
        <v>0</v>
      </c>
      <c r="W80" s="471">
        <f>IF(J80="",0,IF(ISERROR(U80+Q80*VLOOKUP(J80,Paramétrage!$D$6:$F$29,3,0))=TRUE,V80,U80+Q80*VLOOKUP(J80,Paramétrage!$D$6:$F$29,3,0)))</f>
        <v>0</v>
      </c>
      <c r="X80" s="585"/>
      <c r="Y80" s="581"/>
      <c r="Z80" s="581"/>
      <c r="AA80" s="581"/>
      <c r="AB80" s="472">
        <f t="shared" si="10"/>
        <v>0</v>
      </c>
      <c r="AC80" s="588"/>
      <c r="AD80" s="588"/>
      <c r="AE80" s="588"/>
      <c r="AF80" s="588"/>
      <c r="AG80" s="472">
        <f t="shared" si="2"/>
        <v>0</v>
      </c>
      <c r="AH80" s="815"/>
      <c r="AI80" s="815"/>
      <c r="AJ80" s="816"/>
      <c r="AK80" s="473" t="e">
        <f>VLOOKUP(G80,Paramétrage!$L$6:$M$12,2,0)</f>
        <v>#N/A</v>
      </c>
      <c r="AL80" s="177">
        <f t="shared" si="12"/>
        <v>0</v>
      </c>
      <c r="AM80" s="473">
        <f t="shared" si="11"/>
        <v>0</v>
      </c>
    </row>
    <row r="81" spans="1:39" x14ac:dyDescent="0.25">
      <c r="A81" s="822"/>
      <c r="B81" s="734"/>
      <c r="C81" s="735"/>
      <c r="D81" s="736"/>
      <c r="E81" s="595"/>
      <c r="F81" s="596"/>
      <c r="G81" s="596"/>
      <c r="H81" s="597"/>
      <c r="I81" s="599"/>
      <c r="J81" s="581"/>
      <c r="K81" s="600"/>
      <c r="L81" s="603"/>
      <c r="M81" s="588"/>
      <c r="N81" s="601"/>
      <c r="O81" s="602"/>
      <c r="P81" s="715">
        <f>IF(OR(M81="",J81=Paramétrage!$D$9,J81=Paramétrage!$D$12,J81=Paramétrage!$D$15,J81=Paramétrage!$D$18,J81=Paramétrage!$D$22,J81=Paramétrage!$D$25,AND(J81&lt;&gt;Paramétrage!$D$9,N81="Mut+ext")),0,ROUNDUP(L81/M81,0))</f>
        <v>0</v>
      </c>
      <c r="Q81" s="728">
        <f>IF(OR(J81="",N81="Mut+ext"),0,IF(VLOOKUP(J81,Paramétrage!$D$6:$F$29,3,0)=0,0,IF(M81="","saisir capacité",K81*P81*VLOOKUP(J81,Paramétrage!$D$6:$F$29,2,0))))</f>
        <v>0</v>
      </c>
      <c r="R81" s="721"/>
      <c r="S81" s="467">
        <f t="shared" si="8"/>
        <v>0</v>
      </c>
      <c r="T81" s="471">
        <f>IF(J81="",0,IF(ISERROR(R81+Q81*VLOOKUP(J81,Paramétrage!$D$6:$F$29,3,0))=TRUE,S81,R81+Q81*VLOOKUP(J81,Paramétrage!$D$6:$F$29,3,0)))</f>
        <v>0</v>
      </c>
      <c r="U81" s="580"/>
      <c r="V81" s="467">
        <f t="shared" si="9"/>
        <v>0</v>
      </c>
      <c r="W81" s="471">
        <f>IF(J81="",0,IF(ISERROR(U81+Q81*VLOOKUP(J81,Paramétrage!$D$6:$F$29,3,0))=TRUE,V81,U81+Q81*VLOOKUP(J81,Paramétrage!$D$6:$F$29,3,0)))</f>
        <v>0</v>
      </c>
      <c r="X81" s="585"/>
      <c r="Y81" s="581"/>
      <c r="Z81" s="581"/>
      <c r="AA81" s="581"/>
      <c r="AB81" s="472">
        <f t="shared" si="10"/>
        <v>0</v>
      </c>
      <c r="AC81" s="588"/>
      <c r="AD81" s="588"/>
      <c r="AE81" s="588"/>
      <c r="AF81" s="588"/>
      <c r="AG81" s="472">
        <f t="shared" si="2"/>
        <v>0</v>
      </c>
      <c r="AH81" s="815"/>
      <c r="AI81" s="815"/>
      <c r="AJ81" s="816"/>
      <c r="AK81" s="473" t="e">
        <f>VLOOKUP(G81,Paramétrage!$L$6:$M$12,2,0)</f>
        <v>#N/A</v>
      </c>
      <c r="AL81" s="177">
        <f t="shared" si="12"/>
        <v>0</v>
      </c>
      <c r="AM81" s="473">
        <f t="shared" si="11"/>
        <v>0</v>
      </c>
    </row>
    <row r="82" spans="1:39" x14ac:dyDescent="0.25">
      <c r="A82" s="822"/>
      <c r="B82" s="734"/>
      <c r="C82" s="735"/>
      <c r="D82" s="736"/>
      <c r="E82" s="595"/>
      <c r="F82" s="596"/>
      <c r="G82" s="596"/>
      <c r="H82" s="597"/>
      <c r="I82" s="599"/>
      <c r="J82" s="581"/>
      <c r="K82" s="600"/>
      <c r="L82" s="603"/>
      <c r="M82" s="588"/>
      <c r="N82" s="601"/>
      <c r="O82" s="602"/>
      <c r="P82" s="715">
        <f>IF(OR(M82="",J82=Paramétrage!$D$9,J82=Paramétrage!$D$12,J82=Paramétrage!$D$15,J82=Paramétrage!$D$18,J82=Paramétrage!$D$22,J82=Paramétrage!$D$25,AND(J82&lt;&gt;Paramétrage!$D$9,N82="Mut+ext")),0,ROUNDUP(L82/M82,0))</f>
        <v>0</v>
      </c>
      <c r="Q82" s="728">
        <f>IF(OR(J82="",N82="Mut+ext"),0,IF(VLOOKUP(J82,Paramétrage!$D$6:$F$29,3,0)=0,0,IF(M82="","saisir capacité",K82*P82*VLOOKUP(J82,Paramétrage!$D$6:$F$29,2,0))))</f>
        <v>0</v>
      </c>
      <c r="R82" s="721"/>
      <c r="S82" s="467">
        <f t="shared" si="8"/>
        <v>0</v>
      </c>
      <c r="T82" s="471">
        <f>IF(J82="",0,IF(ISERROR(R82+Q82*VLOOKUP(J82,Paramétrage!$D$6:$F$29,3,0))=TRUE,S82,R82+Q82*VLOOKUP(J82,Paramétrage!$D$6:$F$29,3,0)))</f>
        <v>0</v>
      </c>
      <c r="U82" s="580"/>
      <c r="V82" s="467">
        <f t="shared" si="9"/>
        <v>0</v>
      </c>
      <c r="W82" s="471">
        <f>IF(J82="",0,IF(ISERROR(U82+Q82*VLOOKUP(J82,Paramétrage!$D$6:$F$29,3,0))=TRUE,V82,U82+Q82*VLOOKUP(J82,Paramétrage!$D$6:$F$29,3,0)))</f>
        <v>0</v>
      </c>
      <c r="X82" s="585"/>
      <c r="Y82" s="581"/>
      <c r="Z82" s="581"/>
      <c r="AA82" s="581"/>
      <c r="AB82" s="472">
        <f t="shared" si="10"/>
        <v>0</v>
      </c>
      <c r="AC82" s="588"/>
      <c r="AD82" s="588"/>
      <c r="AE82" s="588"/>
      <c r="AF82" s="588"/>
      <c r="AG82" s="472">
        <f t="shared" si="2"/>
        <v>0</v>
      </c>
      <c r="AH82" s="815"/>
      <c r="AI82" s="815"/>
      <c r="AJ82" s="816"/>
      <c r="AK82" s="473" t="e">
        <f>VLOOKUP(G82,Paramétrage!$L$6:$M$12,2,0)</f>
        <v>#N/A</v>
      </c>
      <c r="AL82" s="177">
        <f t="shared" si="12"/>
        <v>0</v>
      </c>
      <c r="AM82" s="473">
        <f t="shared" si="11"/>
        <v>0</v>
      </c>
    </row>
    <row r="83" spans="1:39" x14ac:dyDescent="0.25">
      <c r="A83" s="822"/>
      <c r="B83" s="734"/>
      <c r="C83" s="735"/>
      <c r="D83" s="736"/>
      <c r="E83" s="595"/>
      <c r="F83" s="596"/>
      <c r="G83" s="596"/>
      <c r="H83" s="597"/>
      <c r="I83" s="599"/>
      <c r="J83" s="581"/>
      <c r="K83" s="600"/>
      <c r="L83" s="603"/>
      <c r="M83" s="588"/>
      <c r="N83" s="601"/>
      <c r="O83" s="602"/>
      <c r="P83" s="715">
        <f>IF(OR(M83="",J83=Paramétrage!$D$9,J83=Paramétrage!$D$12,J83=Paramétrage!$D$15,J83=Paramétrage!$D$18,J83=Paramétrage!$D$22,J83=Paramétrage!$D$25,AND(J83&lt;&gt;Paramétrage!$D$9,N83="Mut+ext")),0,ROUNDUP(L83/M83,0))</f>
        <v>0</v>
      </c>
      <c r="Q83" s="728">
        <f>IF(OR(J83="",N83="Mut+ext"),0,IF(VLOOKUP(J83,Paramétrage!$D$6:$F$29,3,0)=0,0,IF(M83="","saisir capacité",K83*P83*VLOOKUP(J83,Paramétrage!$D$6:$F$29,2,0))))</f>
        <v>0</v>
      </c>
      <c r="R83" s="721"/>
      <c r="S83" s="467">
        <f t="shared" si="8"/>
        <v>0</v>
      </c>
      <c r="T83" s="471">
        <f>IF(J83="",0,IF(ISERROR(R83+Q83*VLOOKUP(J83,Paramétrage!$D$6:$F$29,3,0))=TRUE,S83,R83+Q83*VLOOKUP(J83,Paramétrage!$D$6:$F$29,3,0)))</f>
        <v>0</v>
      </c>
      <c r="U83" s="580"/>
      <c r="V83" s="467">
        <f t="shared" si="9"/>
        <v>0</v>
      </c>
      <c r="W83" s="471">
        <f>IF(J83="",0,IF(ISERROR(U83+Q83*VLOOKUP(J83,Paramétrage!$D$6:$F$29,3,0))=TRUE,V83,U83+Q83*VLOOKUP(J83,Paramétrage!$D$6:$F$29,3,0)))</f>
        <v>0</v>
      </c>
      <c r="X83" s="585"/>
      <c r="Y83" s="581"/>
      <c r="Z83" s="581"/>
      <c r="AA83" s="581"/>
      <c r="AB83" s="472">
        <f t="shared" si="10"/>
        <v>0</v>
      </c>
      <c r="AC83" s="588"/>
      <c r="AD83" s="588"/>
      <c r="AE83" s="588"/>
      <c r="AF83" s="588"/>
      <c r="AG83" s="472">
        <f t="shared" si="2"/>
        <v>0</v>
      </c>
      <c r="AH83" s="815"/>
      <c r="AI83" s="815"/>
      <c r="AJ83" s="816"/>
      <c r="AK83" s="473" t="e">
        <f>VLOOKUP(G83,Paramétrage!$L$6:$M$12,2,0)</f>
        <v>#N/A</v>
      </c>
      <c r="AL83" s="177">
        <f t="shared" si="12"/>
        <v>0</v>
      </c>
      <c r="AM83" s="473">
        <f t="shared" si="11"/>
        <v>0</v>
      </c>
    </row>
    <row r="84" spans="1:39" x14ac:dyDescent="0.25">
      <c r="A84" s="822"/>
      <c r="B84" s="734"/>
      <c r="C84" s="735"/>
      <c r="D84" s="736"/>
      <c r="E84" s="595"/>
      <c r="F84" s="596"/>
      <c r="G84" s="596"/>
      <c r="H84" s="597"/>
      <c r="I84" s="599"/>
      <c r="J84" s="581"/>
      <c r="K84" s="600"/>
      <c r="L84" s="603"/>
      <c r="M84" s="588"/>
      <c r="N84" s="601"/>
      <c r="O84" s="602"/>
      <c r="P84" s="715">
        <f>IF(OR(M84="",J84=Paramétrage!$D$9,J84=Paramétrage!$D$12,J84=Paramétrage!$D$15,J84=Paramétrage!$D$18,J84=Paramétrage!$D$22,J84=Paramétrage!$D$25,AND(J84&lt;&gt;Paramétrage!$D$9,N84="Mut+ext")),0,ROUNDUP(L84/M84,0))</f>
        <v>0</v>
      </c>
      <c r="Q84" s="728">
        <f>IF(OR(J84="",N84="Mut+ext"),0,IF(VLOOKUP(J84,Paramétrage!$D$6:$F$29,3,0)=0,0,IF(M84="","saisir capacité",K84*P84*VLOOKUP(J84,Paramétrage!$D$6:$F$29,2,0))))</f>
        <v>0</v>
      </c>
      <c r="R84" s="721"/>
      <c r="S84" s="467">
        <f t="shared" si="8"/>
        <v>0</v>
      </c>
      <c r="T84" s="471">
        <f>IF(J84="",0,IF(ISERROR(R84+Q84*VLOOKUP(J84,Paramétrage!$D$6:$F$29,3,0))=TRUE,S84,R84+Q84*VLOOKUP(J84,Paramétrage!$D$6:$F$29,3,0)))</f>
        <v>0</v>
      </c>
      <c r="U84" s="580"/>
      <c r="V84" s="467">
        <f t="shared" si="9"/>
        <v>0</v>
      </c>
      <c r="W84" s="471">
        <f>IF(J84="",0,IF(ISERROR(U84+Q84*VLOOKUP(J84,Paramétrage!$D$6:$F$29,3,0))=TRUE,V84,U84+Q84*VLOOKUP(J84,Paramétrage!$D$6:$F$29,3,0)))</f>
        <v>0</v>
      </c>
      <c r="X84" s="585"/>
      <c r="Y84" s="581"/>
      <c r="Z84" s="581"/>
      <c r="AA84" s="581"/>
      <c r="AB84" s="472">
        <f t="shared" si="10"/>
        <v>0</v>
      </c>
      <c r="AC84" s="588"/>
      <c r="AD84" s="588"/>
      <c r="AE84" s="588"/>
      <c r="AF84" s="588"/>
      <c r="AG84" s="472">
        <f t="shared" si="2"/>
        <v>0</v>
      </c>
      <c r="AH84" s="815"/>
      <c r="AI84" s="815"/>
      <c r="AJ84" s="816"/>
      <c r="AK84" s="473" t="e">
        <f>VLOOKUP(G84,Paramétrage!$L$6:$M$12,2,0)</f>
        <v>#N/A</v>
      </c>
      <c r="AL84" s="177">
        <f t="shared" si="12"/>
        <v>0</v>
      </c>
      <c r="AM84" s="473">
        <f t="shared" si="11"/>
        <v>0</v>
      </c>
    </row>
    <row r="85" spans="1:39" x14ac:dyDescent="0.25">
      <c r="A85" s="822"/>
      <c r="B85" s="734"/>
      <c r="C85" s="735"/>
      <c r="D85" s="736"/>
      <c r="E85" s="595"/>
      <c r="F85" s="596"/>
      <c r="G85" s="596"/>
      <c r="H85" s="597"/>
      <c r="I85" s="599"/>
      <c r="J85" s="581"/>
      <c r="K85" s="600"/>
      <c r="L85" s="603"/>
      <c r="M85" s="588"/>
      <c r="N85" s="601"/>
      <c r="O85" s="602"/>
      <c r="P85" s="715">
        <f>IF(OR(M85="",J85=Paramétrage!$D$9,J85=Paramétrage!$D$12,J85=Paramétrage!$D$15,J85=Paramétrage!$D$18,J85=Paramétrage!$D$22,J85=Paramétrage!$D$25,AND(J85&lt;&gt;Paramétrage!$D$9,N85="Mut+ext")),0,ROUNDUP(L85/M85,0))</f>
        <v>0</v>
      </c>
      <c r="Q85" s="728">
        <f>IF(OR(J85="",N85="Mut+ext"),0,IF(VLOOKUP(J85,Paramétrage!$D$6:$F$29,3,0)=0,0,IF(M85="","saisir capacité",K85*P85*VLOOKUP(J85,Paramétrage!$D$6:$F$29,2,0))))</f>
        <v>0</v>
      </c>
      <c r="R85" s="721"/>
      <c r="S85" s="467">
        <f t="shared" si="8"/>
        <v>0</v>
      </c>
      <c r="T85" s="471">
        <f>IF(J85="",0,IF(ISERROR(R85+Q85*VLOOKUP(J85,Paramétrage!$D$6:$F$29,3,0))=TRUE,S85,R85+Q85*VLOOKUP(J85,Paramétrage!$D$6:$F$29,3,0)))</f>
        <v>0</v>
      </c>
      <c r="U85" s="580"/>
      <c r="V85" s="467">
        <f t="shared" si="9"/>
        <v>0</v>
      </c>
      <c r="W85" s="471">
        <f>IF(J85="",0,IF(ISERROR(U85+Q85*VLOOKUP(J85,Paramétrage!$D$6:$F$29,3,0))=TRUE,V85,U85+Q85*VLOOKUP(J85,Paramétrage!$D$6:$F$29,3,0)))</f>
        <v>0</v>
      </c>
      <c r="X85" s="585"/>
      <c r="Y85" s="581"/>
      <c r="Z85" s="581"/>
      <c r="AA85" s="581"/>
      <c r="AB85" s="472">
        <f t="shared" si="10"/>
        <v>0</v>
      </c>
      <c r="AC85" s="588"/>
      <c r="AD85" s="588"/>
      <c r="AE85" s="588"/>
      <c r="AF85" s="588"/>
      <c r="AG85" s="472">
        <f t="shared" si="2"/>
        <v>0</v>
      </c>
      <c r="AH85" s="815"/>
      <c r="AI85" s="815"/>
      <c r="AJ85" s="816"/>
      <c r="AK85" s="473" t="e">
        <f>VLOOKUP(G85,Paramétrage!$L$6:$M$12,2,0)</f>
        <v>#N/A</v>
      </c>
      <c r="AL85" s="177">
        <f t="shared" si="12"/>
        <v>0</v>
      </c>
      <c r="AM85" s="473">
        <f t="shared" si="11"/>
        <v>0</v>
      </c>
    </row>
    <row r="86" spans="1:39" x14ac:dyDescent="0.25">
      <c r="A86" s="822"/>
      <c r="B86" s="734"/>
      <c r="C86" s="735"/>
      <c r="D86" s="736"/>
      <c r="E86" s="595"/>
      <c r="F86" s="596"/>
      <c r="G86" s="596"/>
      <c r="H86" s="597"/>
      <c r="I86" s="599"/>
      <c r="J86" s="581"/>
      <c r="K86" s="600"/>
      <c r="L86" s="603"/>
      <c r="M86" s="588"/>
      <c r="N86" s="601"/>
      <c r="O86" s="602"/>
      <c r="P86" s="715">
        <f>IF(OR(M86="",J86=Paramétrage!$D$9,J86=Paramétrage!$D$12,J86=Paramétrage!$D$15,J86=Paramétrage!$D$18,J86=Paramétrage!$D$22,J86=Paramétrage!$D$25,AND(J86&lt;&gt;Paramétrage!$D$9,N86="Mut+ext")),0,ROUNDUP(L86/M86,0))</f>
        <v>0</v>
      </c>
      <c r="Q86" s="728">
        <f>IF(OR(J86="",N86="Mut+ext"),0,IF(VLOOKUP(J86,Paramétrage!$D$6:$F$29,3,0)=0,0,IF(M86="","saisir capacité",K86*P86*VLOOKUP(J86,Paramétrage!$D$6:$F$29,2,0))))</f>
        <v>0</v>
      </c>
      <c r="R86" s="721"/>
      <c r="S86" s="467">
        <f t="shared" si="8"/>
        <v>0</v>
      </c>
      <c r="T86" s="471">
        <f>IF(J86="",0,IF(ISERROR(R86+Q86*VLOOKUP(J86,Paramétrage!$D$6:$F$29,3,0))=TRUE,S86,R86+Q86*VLOOKUP(J86,Paramétrage!$D$6:$F$29,3,0)))</f>
        <v>0</v>
      </c>
      <c r="U86" s="580"/>
      <c r="V86" s="467">
        <f t="shared" si="9"/>
        <v>0</v>
      </c>
      <c r="W86" s="471">
        <f>IF(J86="",0,IF(ISERROR(U86+Q86*VLOOKUP(J86,Paramétrage!$D$6:$F$29,3,0))=TRUE,V86,U86+Q86*VLOOKUP(J86,Paramétrage!$D$6:$F$29,3,0)))</f>
        <v>0</v>
      </c>
      <c r="X86" s="585"/>
      <c r="Y86" s="581"/>
      <c r="Z86" s="581"/>
      <c r="AA86" s="581"/>
      <c r="AB86" s="472">
        <f t="shared" si="10"/>
        <v>0</v>
      </c>
      <c r="AC86" s="588"/>
      <c r="AD86" s="588"/>
      <c r="AE86" s="588"/>
      <c r="AF86" s="588"/>
      <c r="AG86" s="472">
        <f t="shared" si="2"/>
        <v>0</v>
      </c>
      <c r="AH86" s="815"/>
      <c r="AI86" s="815"/>
      <c r="AJ86" s="816"/>
      <c r="AK86" s="473" t="e">
        <f>VLOOKUP(G86,Paramétrage!$L$6:$M$12,2,0)</f>
        <v>#N/A</v>
      </c>
      <c r="AL86" s="177">
        <f t="shared" si="12"/>
        <v>0</v>
      </c>
      <c r="AM86" s="473">
        <f t="shared" si="11"/>
        <v>0</v>
      </c>
    </row>
    <row r="87" spans="1:39" x14ac:dyDescent="0.25">
      <c r="A87" s="822"/>
      <c r="B87" s="734"/>
      <c r="C87" s="735"/>
      <c r="D87" s="736"/>
      <c r="E87" s="595"/>
      <c r="F87" s="596"/>
      <c r="G87" s="596"/>
      <c r="H87" s="597"/>
      <c r="I87" s="599"/>
      <c r="J87" s="581"/>
      <c r="K87" s="600"/>
      <c r="L87" s="603"/>
      <c r="M87" s="588"/>
      <c r="N87" s="601"/>
      <c r="O87" s="602"/>
      <c r="P87" s="715">
        <f>IF(OR(M87="",J87=Paramétrage!$D$9,J87=Paramétrage!$D$12,J87=Paramétrage!$D$15,J87=Paramétrage!$D$18,J87=Paramétrage!$D$22,J87=Paramétrage!$D$25,AND(J87&lt;&gt;Paramétrage!$D$9,N87="Mut+ext")),0,ROUNDUP(L87/M87,0))</f>
        <v>0</v>
      </c>
      <c r="Q87" s="728">
        <f>IF(OR(J87="",N87="Mut+ext"),0,IF(VLOOKUP(J87,Paramétrage!$D$6:$F$29,3,0)=0,0,IF(M87="","saisir capacité",K87*P87*VLOOKUP(J87,Paramétrage!$D$6:$F$29,2,0))))</f>
        <v>0</v>
      </c>
      <c r="R87" s="721"/>
      <c r="S87" s="467">
        <f t="shared" si="8"/>
        <v>0</v>
      </c>
      <c r="T87" s="471">
        <f>IF(J87="",0,IF(ISERROR(R87+Q87*VLOOKUP(J87,Paramétrage!$D$6:$F$29,3,0))=TRUE,S87,R87+Q87*VLOOKUP(J87,Paramétrage!$D$6:$F$29,3,0)))</f>
        <v>0</v>
      </c>
      <c r="U87" s="580"/>
      <c r="V87" s="467">
        <f t="shared" si="9"/>
        <v>0</v>
      </c>
      <c r="W87" s="471">
        <f>IF(J87="",0,IF(ISERROR(U87+Q87*VLOOKUP(J87,Paramétrage!$D$6:$F$29,3,0))=TRUE,V87,U87+Q87*VLOOKUP(J87,Paramétrage!$D$6:$F$29,3,0)))</f>
        <v>0</v>
      </c>
      <c r="X87" s="585"/>
      <c r="Y87" s="581"/>
      <c r="Z87" s="581"/>
      <c r="AA87" s="581"/>
      <c r="AB87" s="472">
        <f t="shared" si="10"/>
        <v>0</v>
      </c>
      <c r="AC87" s="588"/>
      <c r="AD87" s="588"/>
      <c r="AE87" s="588"/>
      <c r="AF87" s="588"/>
      <c r="AG87" s="472">
        <f t="shared" si="2"/>
        <v>0</v>
      </c>
      <c r="AH87" s="815"/>
      <c r="AI87" s="815"/>
      <c r="AJ87" s="816"/>
      <c r="AK87" s="473" t="e">
        <f>VLOOKUP(G87,Paramétrage!$L$6:$M$12,2,0)</f>
        <v>#N/A</v>
      </c>
      <c r="AL87" s="177">
        <f t="shared" si="12"/>
        <v>0</v>
      </c>
      <c r="AM87" s="473">
        <f t="shared" si="11"/>
        <v>0</v>
      </c>
    </row>
    <row r="88" spans="1:39" x14ac:dyDescent="0.25">
      <c r="A88" s="822"/>
      <c r="B88" s="734"/>
      <c r="C88" s="735"/>
      <c r="D88" s="736"/>
      <c r="E88" s="595"/>
      <c r="F88" s="596"/>
      <c r="G88" s="596"/>
      <c r="H88" s="597"/>
      <c r="I88" s="599"/>
      <c r="J88" s="581"/>
      <c r="K88" s="600"/>
      <c r="L88" s="603"/>
      <c r="M88" s="588"/>
      <c r="N88" s="601"/>
      <c r="O88" s="602"/>
      <c r="P88" s="715">
        <f>IF(OR(M88="",J88=Paramétrage!$D$9,J88=Paramétrage!$D$12,J88=Paramétrage!$D$15,J88=Paramétrage!$D$18,J88=Paramétrage!$D$22,J88=Paramétrage!$D$25,AND(J88&lt;&gt;Paramétrage!$D$9,N88="Mut+ext")),0,ROUNDUP(L88/M88,0))</f>
        <v>0</v>
      </c>
      <c r="Q88" s="728">
        <f>IF(OR(J88="",N88="Mut+ext"),0,IF(VLOOKUP(J88,Paramétrage!$D$6:$F$29,3,0)=0,0,IF(M88="","saisir capacité",K88*P88*VLOOKUP(J88,Paramétrage!$D$6:$F$29,2,0))))</f>
        <v>0</v>
      </c>
      <c r="R88" s="721"/>
      <c r="S88" s="467">
        <f t="shared" si="8"/>
        <v>0</v>
      </c>
      <c r="T88" s="471">
        <f>IF(J88="",0,IF(ISERROR(R88+Q88*VLOOKUP(J88,Paramétrage!$D$6:$F$29,3,0))=TRUE,S88,R88+Q88*VLOOKUP(J88,Paramétrage!$D$6:$F$29,3,0)))</f>
        <v>0</v>
      </c>
      <c r="U88" s="580"/>
      <c r="V88" s="467">
        <f t="shared" si="9"/>
        <v>0</v>
      </c>
      <c r="W88" s="471">
        <f>IF(J88="",0,IF(ISERROR(U88+Q88*VLOOKUP(J88,Paramétrage!$D$6:$F$29,3,0))=TRUE,V88,U88+Q88*VLOOKUP(J88,Paramétrage!$D$6:$F$29,3,0)))</f>
        <v>0</v>
      </c>
      <c r="X88" s="585"/>
      <c r="Y88" s="581"/>
      <c r="Z88" s="581"/>
      <c r="AA88" s="581"/>
      <c r="AB88" s="472">
        <f t="shared" si="10"/>
        <v>0</v>
      </c>
      <c r="AC88" s="588"/>
      <c r="AD88" s="588"/>
      <c r="AE88" s="588"/>
      <c r="AF88" s="588"/>
      <c r="AG88" s="472">
        <f t="shared" si="2"/>
        <v>0</v>
      </c>
      <c r="AH88" s="815"/>
      <c r="AI88" s="815"/>
      <c r="AJ88" s="816"/>
      <c r="AK88" s="473" t="e">
        <f>VLOOKUP(G88,Paramétrage!$L$6:$M$12,2,0)</f>
        <v>#N/A</v>
      </c>
      <c r="AL88" s="177">
        <f t="shared" si="12"/>
        <v>0</v>
      </c>
      <c r="AM88" s="473">
        <f t="shared" si="11"/>
        <v>0</v>
      </c>
    </row>
    <row r="89" spans="1:39" x14ac:dyDescent="0.25">
      <c r="A89" s="822"/>
      <c r="B89" s="734"/>
      <c r="C89" s="735"/>
      <c r="D89" s="736"/>
      <c r="E89" s="595"/>
      <c r="F89" s="596"/>
      <c r="G89" s="596"/>
      <c r="H89" s="597"/>
      <c r="I89" s="599"/>
      <c r="J89" s="581"/>
      <c r="K89" s="600"/>
      <c r="L89" s="603"/>
      <c r="M89" s="588"/>
      <c r="N89" s="601"/>
      <c r="O89" s="602"/>
      <c r="P89" s="715">
        <f>IF(OR(M89="",J89=Paramétrage!$D$9,J89=Paramétrage!$D$12,J89=Paramétrage!$D$15,J89=Paramétrage!$D$18,J89=Paramétrage!$D$22,J89=Paramétrage!$D$25,AND(J89&lt;&gt;Paramétrage!$D$9,N89="Mut+ext")),0,ROUNDUP(L89/M89,0))</f>
        <v>0</v>
      </c>
      <c r="Q89" s="728">
        <f>IF(OR(J89="",N89="Mut+ext"),0,IF(VLOOKUP(J89,Paramétrage!$D$6:$F$29,3,0)=0,0,IF(M89="","saisir capacité",K89*P89*VLOOKUP(J89,Paramétrage!$D$6:$F$29,2,0))))</f>
        <v>0</v>
      </c>
      <c r="R89" s="721"/>
      <c r="S89" s="467">
        <f t="shared" si="8"/>
        <v>0</v>
      </c>
      <c r="T89" s="471">
        <f>IF(J89="",0,IF(ISERROR(R89+Q89*VLOOKUP(J89,Paramétrage!$D$6:$F$29,3,0))=TRUE,S89,R89+Q89*VLOOKUP(J89,Paramétrage!$D$6:$F$29,3,0)))</f>
        <v>0</v>
      </c>
      <c r="U89" s="580"/>
      <c r="V89" s="467">
        <f t="shared" si="9"/>
        <v>0</v>
      </c>
      <c r="W89" s="471">
        <f>IF(J89="",0,IF(ISERROR(U89+Q89*VLOOKUP(J89,Paramétrage!$D$6:$F$29,3,0))=TRUE,V89,U89+Q89*VLOOKUP(J89,Paramétrage!$D$6:$F$29,3,0)))</f>
        <v>0</v>
      </c>
      <c r="X89" s="585"/>
      <c r="Y89" s="581"/>
      <c r="Z89" s="581"/>
      <c r="AA89" s="581"/>
      <c r="AB89" s="472">
        <f t="shared" si="10"/>
        <v>0</v>
      </c>
      <c r="AC89" s="588"/>
      <c r="AD89" s="588"/>
      <c r="AE89" s="588"/>
      <c r="AF89" s="588"/>
      <c r="AG89" s="472">
        <f t="shared" si="2"/>
        <v>0</v>
      </c>
      <c r="AH89" s="815"/>
      <c r="AI89" s="815"/>
      <c r="AJ89" s="816"/>
      <c r="AK89" s="473" t="e">
        <f>VLOOKUP(G89,Paramétrage!$L$6:$M$12,2,0)</f>
        <v>#N/A</v>
      </c>
      <c r="AL89" s="177">
        <f t="shared" si="12"/>
        <v>0</v>
      </c>
      <c r="AM89" s="473">
        <f t="shared" si="11"/>
        <v>0</v>
      </c>
    </row>
    <row r="90" spans="1:39" x14ac:dyDescent="0.25">
      <c r="A90" s="822"/>
      <c r="B90" s="734"/>
      <c r="C90" s="735"/>
      <c r="D90" s="736"/>
      <c r="E90" s="595"/>
      <c r="F90" s="596"/>
      <c r="G90" s="596"/>
      <c r="H90" s="597"/>
      <c r="I90" s="599"/>
      <c r="J90" s="581"/>
      <c r="K90" s="600"/>
      <c r="L90" s="603"/>
      <c r="M90" s="588"/>
      <c r="N90" s="601"/>
      <c r="O90" s="602"/>
      <c r="P90" s="715">
        <f>IF(OR(M90="",J90=Paramétrage!$D$9,J90=Paramétrage!$D$12,J90=Paramétrage!$D$15,J90=Paramétrage!$D$18,J90=Paramétrage!$D$22,J90=Paramétrage!$D$25,AND(J90&lt;&gt;Paramétrage!$D$9,N90="Mut+ext")),0,ROUNDUP(L90/M90,0))</f>
        <v>0</v>
      </c>
      <c r="Q90" s="728">
        <f>IF(OR(J90="",N90="Mut+ext"),0,IF(VLOOKUP(J90,Paramétrage!$D$6:$F$29,3,0)=0,0,IF(M90="","saisir capacité",K90*P90*VLOOKUP(J90,Paramétrage!$D$6:$F$29,2,0))))</f>
        <v>0</v>
      </c>
      <c r="R90" s="721"/>
      <c r="S90" s="467">
        <f t="shared" si="8"/>
        <v>0</v>
      </c>
      <c r="T90" s="471">
        <f>IF(J90="",0,IF(ISERROR(R90+Q90*VLOOKUP(J90,Paramétrage!$D$6:$F$29,3,0))=TRUE,S90,R90+Q90*VLOOKUP(J90,Paramétrage!$D$6:$F$29,3,0)))</f>
        <v>0</v>
      </c>
      <c r="U90" s="580"/>
      <c r="V90" s="467">
        <f t="shared" si="9"/>
        <v>0</v>
      </c>
      <c r="W90" s="471">
        <f>IF(J90="",0,IF(ISERROR(U90+Q90*VLOOKUP(J90,Paramétrage!$D$6:$F$29,3,0))=TRUE,V90,U90+Q90*VLOOKUP(J90,Paramétrage!$D$6:$F$29,3,0)))</f>
        <v>0</v>
      </c>
      <c r="X90" s="585"/>
      <c r="Y90" s="581"/>
      <c r="Z90" s="581"/>
      <c r="AA90" s="581"/>
      <c r="AB90" s="472">
        <f t="shared" si="10"/>
        <v>0</v>
      </c>
      <c r="AC90" s="588"/>
      <c r="AD90" s="588"/>
      <c r="AE90" s="588"/>
      <c r="AF90" s="588"/>
      <c r="AG90" s="472">
        <f t="shared" si="2"/>
        <v>0</v>
      </c>
      <c r="AH90" s="815"/>
      <c r="AI90" s="815"/>
      <c r="AJ90" s="816"/>
      <c r="AK90" s="473" t="e">
        <f>VLOOKUP(G90,Paramétrage!$L$6:$M$12,2,0)</f>
        <v>#N/A</v>
      </c>
      <c r="AL90" s="177">
        <f t="shared" si="12"/>
        <v>0</v>
      </c>
      <c r="AM90" s="473">
        <f t="shared" si="11"/>
        <v>0</v>
      </c>
    </row>
    <row r="91" spans="1:39" x14ac:dyDescent="0.25">
      <c r="A91" s="822"/>
      <c r="B91" s="734"/>
      <c r="C91" s="735"/>
      <c r="D91" s="736"/>
      <c r="E91" s="595"/>
      <c r="F91" s="596"/>
      <c r="G91" s="596"/>
      <c r="H91" s="597"/>
      <c r="I91" s="599"/>
      <c r="J91" s="581"/>
      <c r="K91" s="600"/>
      <c r="L91" s="603"/>
      <c r="M91" s="588"/>
      <c r="N91" s="601"/>
      <c r="O91" s="602"/>
      <c r="P91" s="715">
        <f>IF(OR(M91="",J91=Paramétrage!$D$9,J91=Paramétrage!$D$12,J91=Paramétrage!$D$15,J91=Paramétrage!$D$18,J91=Paramétrage!$D$22,J91=Paramétrage!$D$25,AND(J91&lt;&gt;Paramétrage!$D$9,N91="Mut+ext")),0,ROUNDUP(L91/M91,0))</f>
        <v>0</v>
      </c>
      <c r="Q91" s="728">
        <f>IF(OR(J91="",N91="Mut+ext"),0,IF(VLOOKUP(J91,Paramétrage!$D$6:$F$29,3,0)=0,0,IF(M91="","saisir capacité",K91*P91*VLOOKUP(J91,Paramétrage!$D$6:$F$29,2,0))))</f>
        <v>0</v>
      </c>
      <c r="R91" s="721"/>
      <c r="S91" s="467">
        <f t="shared" si="8"/>
        <v>0</v>
      </c>
      <c r="T91" s="471">
        <f>IF(J91="",0,IF(ISERROR(R91+Q91*VLOOKUP(J91,Paramétrage!$D$6:$F$29,3,0))=TRUE,S91,R91+Q91*VLOOKUP(J91,Paramétrage!$D$6:$F$29,3,0)))</f>
        <v>0</v>
      </c>
      <c r="U91" s="580"/>
      <c r="V91" s="467">
        <f t="shared" si="9"/>
        <v>0</v>
      </c>
      <c r="W91" s="471">
        <f>IF(J91="",0,IF(ISERROR(U91+Q91*VLOOKUP(J91,Paramétrage!$D$6:$F$29,3,0))=TRUE,V91,U91+Q91*VLOOKUP(J91,Paramétrage!$D$6:$F$29,3,0)))</f>
        <v>0</v>
      </c>
      <c r="X91" s="585"/>
      <c r="Y91" s="581"/>
      <c r="Z91" s="581"/>
      <c r="AA91" s="581"/>
      <c r="AB91" s="472">
        <f t="shared" si="10"/>
        <v>0</v>
      </c>
      <c r="AC91" s="588"/>
      <c r="AD91" s="588"/>
      <c r="AE91" s="588"/>
      <c r="AF91" s="588"/>
      <c r="AG91" s="472">
        <f t="shared" si="2"/>
        <v>0</v>
      </c>
      <c r="AH91" s="815"/>
      <c r="AI91" s="815"/>
      <c r="AJ91" s="816"/>
      <c r="AK91" s="473" t="e">
        <f>VLOOKUP(G91,Paramétrage!$L$6:$M$12,2,0)</f>
        <v>#N/A</v>
      </c>
      <c r="AL91" s="177">
        <f t="shared" si="12"/>
        <v>0</v>
      </c>
      <c r="AM91" s="473">
        <f t="shared" si="11"/>
        <v>0</v>
      </c>
    </row>
    <row r="92" spans="1:39" x14ac:dyDescent="0.25">
      <c r="A92" s="822"/>
      <c r="B92" s="734"/>
      <c r="C92" s="735"/>
      <c r="D92" s="736"/>
      <c r="E92" s="595"/>
      <c r="F92" s="596"/>
      <c r="G92" s="596"/>
      <c r="H92" s="597"/>
      <c r="I92" s="599"/>
      <c r="J92" s="581"/>
      <c r="K92" s="600"/>
      <c r="L92" s="603"/>
      <c r="M92" s="588"/>
      <c r="N92" s="601"/>
      <c r="O92" s="602"/>
      <c r="P92" s="715">
        <f>IF(OR(M92="",J92=Paramétrage!$D$9,J92=Paramétrage!$D$12,J92=Paramétrage!$D$15,J92=Paramétrage!$D$18,J92=Paramétrage!$D$22,J92=Paramétrage!$D$25,AND(J92&lt;&gt;Paramétrage!$D$9,N92="Mut+ext")),0,ROUNDUP(L92/M92,0))</f>
        <v>0</v>
      </c>
      <c r="Q92" s="728">
        <f>IF(OR(J92="",N92="Mut+ext"),0,IF(VLOOKUP(J92,Paramétrage!$D$6:$F$29,3,0)=0,0,IF(M92="","saisir capacité",K92*P92*VLOOKUP(J92,Paramétrage!$D$6:$F$29,2,0))))</f>
        <v>0</v>
      </c>
      <c r="R92" s="721"/>
      <c r="S92" s="467">
        <f t="shared" si="8"/>
        <v>0</v>
      </c>
      <c r="T92" s="471">
        <f>IF(J92="",0,IF(ISERROR(R92+Q92*VLOOKUP(J92,Paramétrage!$D$6:$F$29,3,0))=TRUE,S92,R92+Q92*VLOOKUP(J92,Paramétrage!$D$6:$F$29,3,0)))</f>
        <v>0</v>
      </c>
      <c r="U92" s="580"/>
      <c r="V92" s="467">
        <f t="shared" si="9"/>
        <v>0</v>
      </c>
      <c r="W92" s="471">
        <f>IF(J92="",0,IF(ISERROR(U92+Q92*VLOOKUP(J92,Paramétrage!$D$6:$F$29,3,0))=TRUE,V92,U92+Q92*VLOOKUP(J92,Paramétrage!$D$6:$F$29,3,0)))</f>
        <v>0</v>
      </c>
      <c r="X92" s="585"/>
      <c r="Y92" s="581"/>
      <c r="Z92" s="581"/>
      <c r="AA92" s="581"/>
      <c r="AB92" s="472">
        <f t="shared" si="10"/>
        <v>0</v>
      </c>
      <c r="AC92" s="588"/>
      <c r="AD92" s="588"/>
      <c r="AE92" s="588"/>
      <c r="AF92" s="588"/>
      <c r="AG92" s="472">
        <f t="shared" si="2"/>
        <v>0</v>
      </c>
      <c r="AH92" s="815"/>
      <c r="AI92" s="815"/>
      <c r="AJ92" s="816"/>
      <c r="AK92" s="473" t="e">
        <f>VLOOKUP(G92,Paramétrage!$L$6:$M$12,2,0)</f>
        <v>#N/A</v>
      </c>
      <c r="AL92" s="177">
        <f t="shared" si="12"/>
        <v>0</v>
      </c>
      <c r="AM92" s="473">
        <f t="shared" si="11"/>
        <v>0</v>
      </c>
    </row>
    <row r="93" spans="1:39" x14ac:dyDescent="0.25">
      <c r="A93" s="822"/>
      <c r="B93" s="734"/>
      <c r="C93" s="735"/>
      <c r="D93" s="736"/>
      <c r="E93" s="595"/>
      <c r="F93" s="596"/>
      <c r="G93" s="596"/>
      <c r="H93" s="598"/>
      <c r="I93" s="599"/>
      <c r="J93" s="581"/>
      <c r="K93" s="600"/>
      <c r="L93" s="603"/>
      <c r="M93" s="588"/>
      <c r="N93" s="601"/>
      <c r="O93" s="602"/>
      <c r="P93" s="715">
        <f>IF(OR(M93="",J93=Paramétrage!$D$9,J93=Paramétrage!$D$12,J93=Paramétrage!$D$15,J93=Paramétrage!$D$18,J93=Paramétrage!$D$22,J93=Paramétrage!$D$25,AND(J93&lt;&gt;Paramétrage!$D$9,N93="Mut+ext")),0,ROUNDUP(L93/M93,0))</f>
        <v>0</v>
      </c>
      <c r="Q93" s="728">
        <f>IF(OR(J93="",N93="Mut+ext"),0,IF(VLOOKUP(J93,Paramétrage!$D$6:$F$29,3,0)=0,0,IF(M93="","saisir capacité",K93*P93*VLOOKUP(J93,Paramétrage!$D$6:$F$29,2,0))))</f>
        <v>0</v>
      </c>
      <c r="R93" s="721"/>
      <c r="S93" s="467">
        <f t="shared" si="8"/>
        <v>0</v>
      </c>
      <c r="T93" s="471">
        <f>IF(J93="",0,IF(ISERROR(R93+Q93*VLOOKUP(J93,Paramétrage!$D$6:$F$29,3,0))=TRUE,S93,R93+Q93*VLOOKUP(J93,Paramétrage!$D$6:$F$29,3,0)))</f>
        <v>0</v>
      </c>
      <c r="U93" s="580"/>
      <c r="V93" s="467">
        <f t="shared" si="9"/>
        <v>0</v>
      </c>
      <c r="W93" s="471">
        <f>IF(J93="",0,IF(ISERROR(U93+Q93*VLOOKUP(J93,Paramétrage!$D$6:$F$29,3,0))=TRUE,V93,U93+Q93*VLOOKUP(J93,Paramétrage!$D$6:$F$29,3,0)))</f>
        <v>0</v>
      </c>
      <c r="X93" s="585"/>
      <c r="Y93" s="581"/>
      <c r="Z93" s="581"/>
      <c r="AA93" s="581"/>
      <c r="AB93" s="472">
        <f t="shared" ref="AB93:AB131" si="13">SUM(X93:AA93)</f>
        <v>0</v>
      </c>
      <c r="AC93" s="588"/>
      <c r="AD93" s="588"/>
      <c r="AE93" s="588"/>
      <c r="AF93" s="588"/>
      <c r="AG93" s="472">
        <f t="shared" si="2"/>
        <v>0</v>
      </c>
      <c r="AH93" s="815"/>
      <c r="AI93" s="815"/>
      <c r="AJ93" s="816"/>
      <c r="AK93" s="473" t="e">
        <f>VLOOKUP(G93,Paramétrage!$L$6:$M$12,2,0)</f>
        <v>#N/A</v>
      </c>
      <c r="AL93" s="177">
        <f t="shared" si="12"/>
        <v>0</v>
      </c>
      <c r="AM93" s="473">
        <f t="shared" si="11"/>
        <v>0</v>
      </c>
    </row>
    <row r="94" spans="1:39" x14ac:dyDescent="0.25">
      <c r="A94" s="822"/>
      <c r="B94" s="734"/>
      <c r="C94" s="735"/>
      <c r="D94" s="736"/>
      <c r="E94" s="595"/>
      <c r="F94" s="596"/>
      <c r="G94" s="596"/>
      <c r="H94" s="598"/>
      <c r="I94" s="599"/>
      <c r="J94" s="581"/>
      <c r="K94" s="600"/>
      <c r="L94" s="603"/>
      <c r="M94" s="604"/>
      <c r="N94" s="605"/>
      <c r="O94" s="602"/>
      <c r="P94" s="715">
        <f>IF(OR(M94="",J94=Paramétrage!$D$9,J94=Paramétrage!$D$12,J94=Paramétrage!$D$15,J94=Paramétrage!$D$18,J94=Paramétrage!$D$22,J94=Paramétrage!$D$25,AND(J94&lt;&gt;Paramétrage!$D$9,N94="Mut+ext")),0,ROUNDUP(L94/M94,0))</f>
        <v>0</v>
      </c>
      <c r="Q94" s="728">
        <f>IF(OR(J94="",N94="Mut+ext"),0,IF(VLOOKUP(J94,Paramétrage!$D$6:$F$29,3,0)=0,0,IF(M94="","saisir capacité",K94*P94*VLOOKUP(J94,Paramétrage!$D$6:$F$29,2,0))))</f>
        <v>0</v>
      </c>
      <c r="R94" s="721"/>
      <c r="S94" s="467">
        <f t="shared" si="8"/>
        <v>0</v>
      </c>
      <c r="T94" s="471">
        <f>IF(J94="",0,IF(ISERROR(R94+Q94*VLOOKUP(J94,Paramétrage!$D$6:$F$29,3,0))=TRUE,S94,R94+Q94*VLOOKUP(J94,Paramétrage!$D$6:$F$29,3,0)))</f>
        <v>0</v>
      </c>
      <c r="U94" s="580"/>
      <c r="V94" s="467">
        <f t="shared" si="9"/>
        <v>0</v>
      </c>
      <c r="W94" s="471">
        <f>IF(J94="",0,IF(ISERROR(U94+Q94*VLOOKUP(J94,Paramétrage!$D$6:$F$29,3,0))=TRUE,V94,U94+Q94*VLOOKUP(J94,Paramétrage!$D$6:$F$29,3,0)))</f>
        <v>0</v>
      </c>
      <c r="X94" s="585"/>
      <c r="Y94" s="581"/>
      <c r="Z94" s="581"/>
      <c r="AA94" s="581"/>
      <c r="AB94" s="472">
        <f t="shared" si="13"/>
        <v>0</v>
      </c>
      <c r="AC94" s="588"/>
      <c r="AD94" s="588"/>
      <c r="AE94" s="588"/>
      <c r="AF94" s="588"/>
      <c r="AG94" s="472">
        <f t="shared" si="2"/>
        <v>0</v>
      </c>
      <c r="AH94" s="815"/>
      <c r="AI94" s="815"/>
      <c r="AJ94" s="816"/>
      <c r="AK94" s="473" t="e">
        <f>VLOOKUP(G94,Paramétrage!$L$6:$M$12,2,0)</f>
        <v>#N/A</v>
      </c>
      <c r="AL94" s="177">
        <f t="shared" si="12"/>
        <v>0</v>
      </c>
      <c r="AM94" s="473">
        <f t="shared" si="11"/>
        <v>0</v>
      </c>
    </row>
    <row r="95" spans="1:39" x14ac:dyDescent="0.25">
      <c r="A95" s="822"/>
      <c r="B95" s="734"/>
      <c r="C95" s="735"/>
      <c r="D95" s="736"/>
      <c r="E95" s="595"/>
      <c r="F95" s="606"/>
      <c r="G95" s="596"/>
      <c r="H95" s="607"/>
      <c r="I95" s="599"/>
      <c r="J95" s="581"/>
      <c r="K95" s="581"/>
      <c r="L95" s="603"/>
      <c r="M95" s="604"/>
      <c r="N95" s="608"/>
      <c r="O95" s="602"/>
      <c r="P95" s="715">
        <f>IF(OR(M95="",J95=Paramétrage!$D$9,J95=Paramétrage!$D$12,J95=Paramétrage!$D$15,J95=Paramétrage!$D$18,J95=Paramétrage!$D$22,J95=Paramétrage!$D$25,AND(J95&lt;&gt;Paramétrage!$D$9,N95="Mut+ext")),0,ROUNDUP(L95/M95,0))</f>
        <v>0</v>
      </c>
      <c r="Q95" s="728">
        <f>IF(OR(J95="",N95="Mut+ext"),0,IF(VLOOKUP(J95,Paramétrage!$D$6:$F$29,3,0)=0,0,IF(M95="","saisir capacité",K95*P95*VLOOKUP(J95,Paramétrage!$D$6:$F$29,2,0))))</f>
        <v>0</v>
      </c>
      <c r="R95" s="721"/>
      <c r="S95" s="467">
        <f t="shared" si="8"/>
        <v>0</v>
      </c>
      <c r="T95" s="471">
        <f>IF(J95="",0,IF(ISERROR(R95+Q95*VLOOKUP(J95,Paramétrage!$D$6:$F$29,3,0))=TRUE,S95,R95+Q95*VLOOKUP(J95,Paramétrage!$D$6:$F$29,3,0)))</f>
        <v>0</v>
      </c>
      <c r="U95" s="580"/>
      <c r="V95" s="467">
        <f t="shared" si="9"/>
        <v>0</v>
      </c>
      <c r="W95" s="471">
        <f>IF(J95="",0,IF(ISERROR(U95+Q95*VLOOKUP(J95,Paramétrage!$D$6:$F$29,3,0))=TRUE,V95,U95+Q95*VLOOKUP(J95,Paramétrage!$D$6:$F$29,3,0)))</f>
        <v>0</v>
      </c>
      <c r="X95" s="585"/>
      <c r="Y95" s="581"/>
      <c r="Z95" s="581"/>
      <c r="AA95" s="581"/>
      <c r="AB95" s="472">
        <f t="shared" si="13"/>
        <v>0</v>
      </c>
      <c r="AC95" s="588"/>
      <c r="AD95" s="588"/>
      <c r="AE95" s="588"/>
      <c r="AF95" s="588"/>
      <c r="AG95" s="472">
        <f t="shared" si="2"/>
        <v>0</v>
      </c>
      <c r="AH95" s="815"/>
      <c r="AI95" s="815"/>
      <c r="AJ95" s="816"/>
      <c r="AK95" s="473" t="e">
        <f>VLOOKUP(G95,Paramétrage!$L$6:$M$12,2,0)</f>
        <v>#N/A</v>
      </c>
      <c r="AL95" s="177">
        <f t="shared" si="12"/>
        <v>0</v>
      </c>
      <c r="AM95" s="473">
        <f t="shared" si="11"/>
        <v>0</v>
      </c>
    </row>
    <row r="96" spans="1:39" x14ac:dyDescent="0.25">
      <c r="A96" s="822"/>
      <c r="B96" s="734"/>
      <c r="C96" s="735"/>
      <c r="D96" s="736"/>
      <c r="E96" s="595"/>
      <c r="F96" s="596"/>
      <c r="G96" s="596"/>
      <c r="H96" s="607"/>
      <c r="I96" s="599"/>
      <c r="J96" s="581"/>
      <c r="K96" s="581"/>
      <c r="L96" s="603"/>
      <c r="M96" s="604"/>
      <c r="N96" s="608"/>
      <c r="O96" s="602"/>
      <c r="P96" s="715">
        <f>IF(OR(M96="",J96=Paramétrage!$D$9,J96=Paramétrage!$D$12,J96=Paramétrage!$D$15,J96=Paramétrage!$D$18,J96=Paramétrage!$D$22,J96=Paramétrage!$D$25,AND(J96&lt;&gt;Paramétrage!$D$9,N96="Mut+ext")),0,ROUNDUP(L96/M96,0))</f>
        <v>0</v>
      </c>
      <c r="Q96" s="728">
        <f>IF(OR(J96="",N96="Mut+ext"),0,IF(VLOOKUP(J96,Paramétrage!$D$6:$F$29,3,0)=0,0,IF(M96="","saisir capacité",K96*P96*VLOOKUP(J96,Paramétrage!$D$6:$F$29,2,0))))</f>
        <v>0</v>
      </c>
      <c r="R96" s="721"/>
      <c r="S96" s="467">
        <f t="shared" si="8"/>
        <v>0</v>
      </c>
      <c r="T96" s="471">
        <f>IF(J96="",0,IF(ISERROR(R96+Q96*VLOOKUP(J96,Paramétrage!$D$6:$F$29,3,0))=TRUE,S96,R96+Q96*VLOOKUP(J96,Paramétrage!$D$6:$F$29,3,0)))</f>
        <v>0</v>
      </c>
      <c r="U96" s="580"/>
      <c r="V96" s="467">
        <f t="shared" si="9"/>
        <v>0</v>
      </c>
      <c r="W96" s="471">
        <f>IF(J96="",0,IF(ISERROR(U96+Q96*VLOOKUP(J96,Paramétrage!$D$6:$F$29,3,0))=TRUE,V96,U96+Q96*VLOOKUP(J96,Paramétrage!$D$6:$F$29,3,0)))</f>
        <v>0</v>
      </c>
      <c r="X96" s="585"/>
      <c r="Y96" s="581"/>
      <c r="Z96" s="581"/>
      <c r="AA96" s="581"/>
      <c r="AB96" s="472">
        <f t="shared" si="13"/>
        <v>0</v>
      </c>
      <c r="AC96" s="588"/>
      <c r="AD96" s="588"/>
      <c r="AE96" s="588"/>
      <c r="AF96" s="588"/>
      <c r="AG96" s="472">
        <f t="shared" si="2"/>
        <v>0</v>
      </c>
      <c r="AH96" s="815"/>
      <c r="AI96" s="815"/>
      <c r="AJ96" s="816"/>
      <c r="AK96" s="473" t="e">
        <f>VLOOKUP(G96,Paramétrage!$L$6:$M$12,2,0)</f>
        <v>#N/A</v>
      </c>
      <c r="AL96" s="177">
        <f t="shared" si="12"/>
        <v>0</v>
      </c>
      <c r="AM96" s="473">
        <f t="shared" si="11"/>
        <v>0</v>
      </c>
    </row>
    <row r="97" spans="1:39" x14ac:dyDescent="0.25">
      <c r="A97" s="822"/>
      <c r="B97" s="734"/>
      <c r="C97" s="735"/>
      <c r="D97" s="737"/>
      <c r="E97" s="595"/>
      <c r="F97" s="596"/>
      <c r="G97" s="596"/>
      <c r="H97" s="607"/>
      <c r="I97" s="599"/>
      <c r="J97" s="581"/>
      <c r="K97" s="581"/>
      <c r="L97" s="603"/>
      <c r="M97" s="604"/>
      <c r="N97" s="608"/>
      <c r="O97" s="602"/>
      <c r="P97" s="715">
        <f>IF(OR(M97="",J97=Paramétrage!$D$9,J97=Paramétrage!$D$12,J97=Paramétrage!$D$15,J97=Paramétrage!$D$18,J97=Paramétrage!$D$22,J97=Paramétrage!$D$25,AND(J97&lt;&gt;Paramétrage!$D$9,N97="Mut+ext")),0,ROUNDUP(L97/M97,0))</f>
        <v>0</v>
      </c>
      <c r="Q97" s="728">
        <f>IF(OR(J97="",N97="Mut+ext"),0,IF(VLOOKUP(J97,Paramétrage!$D$6:$F$29,3,0)=0,0,IF(M97="","saisir capacité",K97*P97*VLOOKUP(J97,Paramétrage!$D$6:$F$29,2,0))))</f>
        <v>0</v>
      </c>
      <c r="R97" s="721"/>
      <c r="S97" s="467">
        <f t="shared" si="8"/>
        <v>0</v>
      </c>
      <c r="T97" s="471">
        <f>IF(J97="",0,IF(ISERROR(R97+Q97*VLOOKUP(J97,Paramétrage!$D$6:$F$29,3,0))=TRUE,S97,R97+Q97*VLOOKUP(J97,Paramétrage!$D$6:$F$29,3,0)))</f>
        <v>0</v>
      </c>
      <c r="U97" s="580"/>
      <c r="V97" s="467">
        <f t="shared" si="9"/>
        <v>0</v>
      </c>
      <c r="W97" s="471">
        <f>IF(J97="",0,IF(ISERROR(U97+Q97*VLOOKUP(J97,Paramétrage!$D$6:$F$29,3,0))=TRUE,V97,U97+Q97*VLOOKUP(J97,Paramétrage!$D$6:$F$29,3,0)))</f>
        <v>0</v>
      </c>
      <c r="X97" s="585"/>
      <c r="Y97" s="581"/>
      <c r="Z97" s="581"/>
      <c r="AA97" s="581"/>
      <c r="AB97" s="472">
        <f t="shared" si="13"/>
        <v>0</v>
      </c>
      <c r="AC97" s="588"/>
      <c r="AD97" s="588"/>
      <c r="AE97" s="588"/>
      <c r="AF97" s="588"/>
      <c r="AG97" s="472">
        <f t="shared" si="2"/>
        <v>0</v>
      </c>
      <c r="AH97" s="815"/>
      <c r="AI97" s="815"/>
      <c r="AJ97" s="816"/>
      <c r="AK97" s="473" t="e">
        <f>VLOOKUP(G97,Paramétrage!$L$6:$M$12,2,0)</f>
        <v>#N/A</v>
      </c>
      <c r="AL97" s="177">
        <f t="shared" si="12"/>
        <v>0</v>
      </c>
      <c r="AM97" s="473">
        <f t="shared" si="11"/>
        <v>0</v>
      </c>
    </row>
    <row r="98" spans="1:39" x14ac:dyDescent="0.25">
      <c r="A98" s="822"/>
      <c r="B98" s="734"/>
      <c r="C98" s="735"/>
      <c r="D98" s="736"/>
      <c r="E98" s="595"/>
      <c r="F98" s="596"/>
      <c r="G98" s="596"/>
      <c r="H98" s="607"/>
      <c r="I98" s="599"/>
      <c r="J98" s="581"/>
      <c r="K98" s="581"/>
      <c r="L98" s="603"/>
      <c r="M98" s="604"/>
      <c r="N98" s="608"/>
      <c r="O98" s="602"/>
      <c r="P98" s="715">
        <f>IF(OR(M98="",J98=Paramétrage!$D$9,J98=Paramétrage!$D$12,J98=Paramétrage!$D$15,J98=Paramétrage!$D$18,J98=Paramétrage!$D$22,J98=Paramétrage!$D$25,AND(J98&lt;&gt;Paramétrage!$D$9,N98="Mut+ext")),0,ROUNDUP(L98/M98,0))</f>
        <v>0</v>
      </c>
      <c r="Q98" s="728">
        <f>IF(OR(J98="",N98="Mut+ext"),0,IF(VLOOKUP(J98,Paramétrage!$D$6:$F$29,3,0)=0,0,IF(M98="","saisir capacité",K98*P98*VLOOKUP(J98,Paramétrage!$D$6:$F$29,2,0))))</f>
        <v>0</v>
      </c>
      <c r="R98" s="721"/>
      <c r="S98" s="467">
        <f t="shared" si="8"/>
        <v>0</v>
      </c>
      <c r="T98" s="471">
        <f>IF(J98="",0,IF(ISERROR(R98+Q98*VLOOKUP(J98,Paramétrage!$D$6:$F$29,3,0))=TRUE,S98,R98+Q98*VLOOKUP(J98,Paramétrage!$D$6:$F$29,3,0)))</f>
        <v>0</v>
      </c>
      <c r="U98" s="580"/>
      <c r="V98" s="467">
        <f t="shared" si="9"/>
        <v>0</v>
      </c>
      <c r="W98" s="471">
        <f>IF(J98="",0,IF(ISERROR(U98+Q98*VLOOKUP(J98,Paramétrage!$D$6:$F$29,3,0))=TRUE,V98,U98+Q98*VLOOKUP(J98,Paramétrage!$D$6:$F$29,3,0)))</f>
        <v>0</v>
      </c>
      <c r="X98" s="585"/>
      <c r="Y98" s="581"/>
      <c r="Z98" s="581"/>
      <c r="AA98" s="581"/>
      <c r="AB98" s="472">
        <f t="shared" si="13"/>
        <v>0</v>
      </c>
      <c r="AC98" s="588"/>
      <c r="AD98" s="588"/>
      <c r="AE98" s="588"/>
      <c r="AF98" s="588"/>
      <c r="AG98" s="472">
        <f t="shared" si="2"/>
        <v>0</v>
      </c>
      <c r="AH98" s="815"/>
      <c r="AI98" s="815"/>
      <c r="AJ98" s="816"/>
      <c r="AK98" s="473" t="e">
        <f>VLOOKUP(G98,Paramétrage!$L$6:$M$12,2,0)</f>
        <v>#N/A</v>
      </c>
      <c r="AL98" s="177">
        <f t="shared" si="12"/>
        <v>0</v>
      </c>
      <c r="AM98" s="473">
        <f t="shared" si="11"/>
        <v>0</v>
      </c>
    </row>
    <row r="99" spans="1:39" x14ac:dyDescent="0.25">
      <c r="A99" s="822"/>
      <c r="B99" s="734"/>
      <c r="C99" s="735"/>
      <c r="D99" s="736"/>
      <c r="E99" s="595"/>
      <c r="F99" s="596"/>
      <c r="G99" s="596"/>
      <c r="H99" s="607"/>
      <c r="I99" s="599"/>
      <c r="J99" s="581"/>
      <c r="K99" s="581"/>
      <c r="L99" s="603"/>
      <c r="M99" s="604"/>
      <c r="N99" s="608"/>
      <c r="O99" s="602"/>
      <c r="P99" s="715">
        <f>IF(OR(M99="",J99=Paramétrage!$D$9,J99=Paramétrage!$D$12,J99=Paramétrage!$D$15,J99=Paramétrage!$D$18,J99=Paramétrage!$D$22,J99=Paramétrage!$D$25,AND(J99&lt;&gt;Paramétrage!$D$9,N99="Mut+ext")),0,ROUNDUP(L99/M99,0))</f>
        <v>0</v>
      </c>
      <c r="Q99" s="728">
        <f>IF(OR(J99="",N99="Mut+ext"),0,IF(VLOOKUP(J99,Paramétrage!$D$6:$F$29,3,0)=0,0,IF(M99="","saisir capacité",K99*P99*VLOOKUP(J99,Paramétrage!$D$6:$F$29,2,0))))</f>
        <v>0</v>
      </c>
      <c r="R99" s="721"/>
      <c r="S99" s="467">
        <f t="shared" si="8"/>
        <v>0</v>
      </c>
      <c r="T99" s="471">
        <f>IF(J99="",0,IF(ISERROR(R99+Q99*VLOOKUP(J99,Paramétrage!$D$6:$F$29,3,0))=TRUE,S99,R99+Q99*VLOOKUP(J99,Paramétrage!$D$6:$F$29,3,0)))</f>
        <v>0</v>
      </c>
      <c r="U99" s="580"/>
      <c r="V99" s="467">
        <f t="shared" si="9"/>
        <v>0</v>
      </c>
      <c r="W99" s="471">
        <f>IF(J99="",0,IF(ISERROR(U99+Q99*VLOOKUP(J99,Paramétrage!$D$6:$F$29,3,0))=TRUE,V99,U99+Q99*VLOOKUP(J99,Paramétrage!$D$6:$F$29,3,0)))</f>
        <v>0</v>
      </c>
      <c r="X99" s="585"/>
      <c r="Y99" s="581"/>
      <c r="Z99" s="581"/>
      <c r="AA99" s="581"/>
      <c r="AB99" s="472">
        <f t="shared" si="13"/>
        <v>0</v>
      </c>
      <c r="AC99" s="588"/>
      <c r="AD99" s="588"/>
      <c r="AE99" s="588"/>
      <c r="AF99" s="588"/>
      <c r="AG99" s="472">
        <f t="shared" si="2"/>
        <v>0</v>
      </c>
      <c r="AH99" s="815"/>
      <c r="AI99" s="815"/>
      <c r="AJ99" s="816"/>
      <c r="AK99" s="473" t="e">
        <f>VLOOKUP(G99,Paramétrage!$L$6:$M$12,2,0)</f>
        <v>#N/A</v>
      </c>
      <c r="AL99" s="177">
        <f t="shared" si="12"/>
        <v>0</v>
      </c>
      <c r="AM99" s="473">
        <f t="shared" si="11"/>
        <v>0</v>
      </c>
    </row>
    <row r="100" spans="1:39" x14ac:dyDescent="0.25">
      <c r="A100" s="822"/>
      <c r="B100" s="738"/>
      <c r="C100" s="739"/>
      <c r="D100" s="740"/>
      <c r="E100" s="609"/>
      <c r="F100" s="596"/>
      <c r="G100" s="596"/>
      <c r="H100" s="607"/>
      <c r="I100" s="599"/>
      <c r="J100" s="581"/>
      <c r="K100" s="581"/>
      <c r="L100" s="603"/>
      <c r="M100" s="604"/>
      <c r="N100" s="608"/>
      <c r="O100" s="602"/>
      <c r="P100" s="715">
        <f>IF(OR(M100="",J100=Paramétrage!$D$9,J100=Paramétrage!$D$12,J100=Paramétrage!$D$15,J100=Paramétrage!$D$18,J100=Paramétrage!$D$22,J100=Paramétrage!$D$25,AND(J100&lt;&gt;Paramétrage!$D$9,N100="Mut+ext")),0,ROUNDUP(L100/M100,0))</f>
        <v>0</v>
      </c>
      <c r="Q100" s="728">
        <f>IF(OR(J100="",N100="Mut+ext"),0,IF(VLOOKUP(J100,Paramétrage!$D$6:$F$29,3,0)=0,0,IF(M100="","saisir capacité",K100*P100*VLOOKUP(J100,Paramétrage!$D$6:$F$29,2,0))))</f>
        <v>0</v>
      </c>
      <c r="R100" s="721"/>
      <c r="S100" s="467">
        <f t="shared" si="8"/>
        <v>0</v>
      </c>
      <c r="T100" s="471">
        <f>IF(J100="",0,IF(ISERROR(R100+Q100*VLOOKUP(J100,Paramétrage!$D$6:$F$29,3,0))=TRUE,S100,R100+Q100*VLOOKUP(J100,Paramétrage!$D$6:$F$29,3,0)))</f>
        <v>0</v>
      </c>
      <c r="U100" s="580"/>
      <c r="V100" s="467">
        <f t="shared" si="9"/>
        <v>0</v>
      </c>
      <c r="W100" s="471">
        <f>IF(J100="",0,IF(ISERROR(U100+Q100*VLOOKUP(J100,Paramétrage!$D$6:$F$29,3,0))=TRUE,V100,U100+Q100*VLOOKUP(J100,Paramétrage!$D$6:$F$29,3,0)))</f>
        <v>0</v>
      </c>
      <c r="X100" s="585"/>
      <c r="Y100" s="581"/>
      <c r="Z100" s="581"/>
      <c r="AA100" s="581"/>
      <c r="AB100" s="472">
        <f t="shared" si="13"/>
        <v>0</v>
      </c>
      <c r="AC100" s="588"/>
      <c r="AD100" s="588"/>
      <c r="AE100" s="588"/>
      <c r="AF100" s="588"/>
      <c r="AG100" s="472">
        <f t="shared" si="2"/>
        <v>0</v>
      </c>
      <c r="AH100" s="815"/>
      <c r="AI100" s="815"/>
      <c r="AJ100" s="816"/>
      <c r="AK100" s="473" t="e">
        <f>VLOOKUP(G100,Paramétrage!$L$6:$M$12,2,0)</f>
        <v>#N/A</v>
      </c>
      <c r="AL100" s="177">
        <f t="shared" si="12"/>
        <v>0</v>
      </c>
      <c r="AM100" s="473">
        <f t="shared" si="11"/>
        <v>0</v>
      </c>
    </row>
    <row r="101" spans="1:39" x14ac:dyDescent="0.25">
      <c r="A101" s="822"/>
      <c r="B101" s="738"/>
      <c r="C101" s="739"/>
      <c r="D101" s="740"/>
      <c r="E101" s="609"/>
      <c r="F101" s="596"/>
      <c r="G101" s="596"/>
      <c r="H101" s="607"/>
      <c r="I101" s="599"/>
      <c r="J101" s="581"/>
      <c r="K101" s="581"/>
      <c r="L101" s="603"/>
      <c r="M101" s="604"/>
      <c r="N101" s="608"/>
      <c r="O101" s="610"/>
      <c r="P101" s="715">
        <f>IF(OR(M101="",J101=Paramétrage!$D$9,J101=Paramétrage!$D$12,J101=Paramétrage!$D$15,J101=Paramétrage!$D$18,J101=Paramétrage!$D$22,J101=Paramétrage!$D$25,AND(J101&lt;&gt;Paramétrage!$D$9,N101="Mut+ext")),0,ROUNDUP(L101/M101,0))</f>
        <v>0</v>
      </c>
      <c r="Q101" s="728">
        <f>IF(OR(J101="",N101="Mut+ext"),0,IF(VLOOKUP(J101,Paramétrage!$D$6:$F$29,3,0)=0,0,IF(M101="","saisir capacité",K101*P101*VLOOKUP(J101,Paramétrage!$D$6:$F$29,2,0))))</f>
        <v>0</v>
      </c>
      <c r="R101" s="721"/>
      <c r="S101" s="467">
        <f t="shared" si="8"/>
        <v>0</v>
      </c>
      <c r="T101" s="471">
        <f>IF(J101="",0,IF(ISERROR(R101+Q101*VLOOKUP(J101,Paramétrage!$D$6:$F$29,3,0))=TRUE,S101,R101+Q101*VLOOKUP(J101,Paramétrage!$D$6:$F$29,3,0)))</f>
        <v>0</v>
      </c>
      <c r="U101" s="580"/>
      <c r="V101" s="467">
        <f t="shared" si="9"/>
        <v>0</v>
      </c>
      <c r="W101" s="471">
        <f>IF(J101="",0,IF(ISERROR(U101+Q101*VLOOKUP(J101,Paramétrage!$D$6:$F$29,3,0))=TRUE,V101,U101+Q101*VLOOKUP(J101,Paramétrage!$D$6:$F$29,3,0)))</f>
        <v>0</v>
      </c>
      <c r="X101" s="585"/>
      <c r="Y101" s="581"/>
      <c r="Z101" s="581"/>
      <c r="AA101" s="581"/>
      <c r="AB101" s="472">
        <f t="shared" si="13"/>
        <v>0</v>
      </c>
      <c r="AC101" s="588"/>
      <c r="AD101" s="588"/>
      <c r="AE101" s="588"/>
      <c r="AF101" s="588"/>
      <c r="AG101" s="472">
        <f t="shared" si="2"/>
        <v>0</v>
      </c>
      <c r="AH101" s="817"/>
      <c r="AI101" s="817"/>
      <c r="AJ101" s="818"/>
      <c r="AK101" s="473" t="e">
        <f>VLOOKUP(G101,Paramétrage!$L$6:$M$12,2,0)</f>
        <v>#N/A</v>
      </c>
      <c r="AL101" s="177">
        <f t="shared" si="12"/>
        <v>0</v>
      </c>
      <c r="AM101" s="477">
        <f t="shared" si="11"/>
        <v>0</v>
      </c>
    </row>
    <row r="102" spans="1:39" x14ac:dyDescent="0.25">
      <c r="A102" s="822"/>
      <c r="B102" s="738"/>
      <c r="C102" s="739"/>
      <c r="D102" s="740"/>
      <c r="E102" s="609"/>
      <c r="F102" s="596"/>
      <c r="G102" s="596"/>
      <c r="H102" s="607"/>
      <c r="I102" s="599"/>
      <c r="J102" s="581"/>
      <c r="K102" s="581"/>
      <c r="L102" s="603"/>
      <c r="M102" s="604"/>
      <c r="N102" s="608"/>
      <c r="O102" s="602"/>
      <c r="P102" s="715">
        <f>IF(OR(M102="",J102=Paramétrage!$D$9,J102=Paramétrage!$D$12,J102=Paramétrage!$D$15,J102=Paramétrage!$D$18,J102=Paramétrage!$D$22,J102=Paramétrage!$D$25,AND(J102&lt;&gt;Paramétrage!$D$9,N102="Mut+ext")),0,ROUNDUP(L102/M102,0))</f>
        <v>0</v>
      </c>
      <c r="Q102" s="728">
        <f>IF(OR(J102="",N102="Mut+ext"),0,IF(VLOOKUP(J102,Paramétrage!$D$6:$F$29,3,0)=0,0,IF(M102="","saisir capacité",K102*P102*VLOOKUP(J102,Paramétrage!$D$6:$F$29,2,0))))</f>
        <v>0</v>
      </c>
      <c r="R102" s="721"/>
      <c r="S102" s="467">
        <f t="shared" si="8"/>
        <v>0</v>
      </c>
      <c r="T102" s="471">
        <f>IF(J102="",0,IF(ISERROR(R102+Q102*VLOOKUP(J102,Paramétrage!$D$6:$F$29,3,0))=TRUE,S102,R102+Q102*VLOOKUP(J102,Paramétrage!$D$6:$F$29,3,0)))</f>
        <v>0</v>
      </c>
      <c r="U102" s="580"/>
      <c r="V102" s="467">
        <f t="shared" si="9"/>
        <v>0</v>
      </c>
      <c r="W102" s="471">
        <f>IF(J102="",0,IF(ISERROR(U102+Q102*VLOOKUP(J102,Paramétrage!$D$6:$F$29,3,0))=TRUE,V102,U102+Q102*VLOOKUP(J102,Paramétrage!$D$6:$F$29,3,0)))</f>
        <v>0</v>
      </c>
      <c r="X102" s="585"/>
      <c r="Y102" s="581"/>
      <c r="Z102" s="581"/>
      <c r="AA102" s="581"/>
      <c r="AB102" s="472">
        <f t="shared" si="13"/>
        <v>0</v>
      </c>
      <c r="AC102" s="588"/>
      <c r="AD102" s="588"/>
      <c r="AE102" s="588"/>
      <c r="AF102" s="588"/>
      <c r="AG102" s="472">
        <f t="shared" si="2"/>
        <v>0</v>
      </c>
      <c r="AH102" s="815"/>
      <c r="AI102" s="815"/>
      <c r="AJ102" s="816"/>
      <c r="AK102" s="473" t="e">
        <f>VLOOKUP(G102,Paramétrage!$L$6:$M$12,2,0)</f>
        <v>#N/A</v>
      </c>
      <c r="AL102" s="177">
        <f t="shared" si="12"/>
        <v>0</v>
      </c>
      <c r="AM102" s="473">
        <f t="shared" si="11"/>
        <v>0</v>
      </c>
    </row>
    <row r="103" spans="1:39" x14ac:dyDescent="0.25">
      <c r="A103" s="822"/>
      <c r="B103" s="741"/>
      <c r="C103" s="742"/>
      <c r="D103" s="743"/>
      <c r="E103" s="609"/>
      <c r="F103" s="596"/>
      <c r="G103" s="596"/>
      <c r="H103" s="607"/>
      <c r="I103" s="599"/>
      <c r="J103" s="581"/>
      <c r="K103" s="581"/>
      <c r="L103" s="603"/>
      <c r="M103" s="604"/>
      <c r="N103" s="608"/>
      <c r="O103" s="602"/>
      <c r="P103" s="715">
        <f>IF(OR(M103="",J103=Paramétrage!$D$9,J103=Paramétrage!$D$12,J103=Paramétrage!$D$15,J103=Paramétrage!$D$18,J103=Paramétrage!$D$22,J103=Paramétrage!$D$25,AND(J103&lt;&gt;Paramétrage!$D$9,N103="Mut+ext")),0,ROUNDUP(L103/M103,0))</f>
        <v>0</v>
      </c>
      <c r="Q103" s="728">
        <f>IF(OR(J103="",N103="Mut+ext"),0,IF(VLOOKUP(J103,Paramétrage!$D$6:$F$29,3,0)=0,0,IF(M103="","saisir capacité",K103*P103*VLOOKUP(J103,Paramétrage!$D$6:$F$29,2,0))))</f>
        <v>0</v>
      </c>
      <c r="R103" s="721"/>
      <c r="S103" s="467">
        <f t="shared" si="8"/>
        <v>0</v>
      </c>
      <c r="T103" s="471">
        <f>IF(J103="",0,IF(ISERROR(R103+Q103*VLOOKUP(J103,Paramétrage!$D$6:$F$29,3,0))=TRUE,S103,R103+Q103*VLOOKUP(J103,Paramétrage!$D$6:$F$29,3,0)))</f>
        <v>0</v>
      </c>
      <c r="U103" s="580"/>
      <c r="V103" s="467">
        <f t="shared" si="9"/>
        <v>0</v>
      </c>
      <c r="W103" s="471">
        <f>IF(J103="",0,IF(ISERROR(U103+Q103*VLOOKUP(J103,Paramétrage!$D$6:$F$29,3,0))=TRUE,V103,U103+Q103*VLOOKUP(J103,Paramétrage!$D$6:$F$29,3,0)))</f>
        <v>0</v>
      </c>
      <c r="X103" s="585"/>
      <c r="Y103" s="581"/>
      <c r="Z103" s="581"/>
      <c r="AA103" s="581"/>
      <c r="AB103" s="472">
        <f t="shared" si="13"/>
        <v>0</v>
      </c>
      <c r="AC103" s="588"/>
      <c r="AD103" s="588"/>
      <c r="AE103" s="588"/>
      <c r="AF103" s="588"/>
      <c r="AG103" s="472">
        <f t="shared" si="2"/>
        <v>0</v>
      </c>
      <c r="AH103" s="815"/>
      <c r="AI103" s="815"/>
      <c r="AJ103" s="816"/>
      <c r="AK103" s="473" t="e">
        <f>VLOOKUP(G103,Paramétrage!$L$6:$M$12,2,0)</f>
        <v>#N/A</v>
      </c>
      <c r="AL103" s="177">
        <f t="shared" si="12"/>
        <v>0</v>
      </c>
      <c r="AM103" s="473">
        <f t="shared" si="11"/>
        <v>0</v>
      </c>
    </row>
    <row r="104" spans="1:39" x14ac:dyDescent="0.25">
      <c r="A104" s="822"/>
      <c r="B104" s="744"/>
      <c r="C104" s="742"/>
      <c r="D104" s="745"/>
      <c r="E104" s="609"/>
      <c r="F104" s="596"/>
      <c r="G104" s="596"/>
      <c r="H104" s="598"/>
      <c r="I104" s="599"/>
      <c r="J104" s="581"/>
      <c r="K104" s="580"/>
      <c r="L104" s="603"/>
      <c r="M104" s="604"/>
      <c r="N104" s="608"/>
      <c r="O104" s="602"/>
      <c r="P104" s="715">
        <f>IF(OR(M104="",J104=Paramétrage!$D$9,J104=Paramétrage!$D$12,J104=Paramétrage!$D$15,J104=Paramétrage!$D$18,J104=Paramétrage!$D$22,J104=Paramétrage!$D$25,AND(J104&lt;&gt;Paramétrage!$D$9,N104="Mut+ext")),0,ROUNDUP(L104/M104,0))</f>
        <v>0</v>
      </c>
      <c r="Q104" s="728">
        <f>IF(OR(J104="",N104="Mut+ext"),0,IF(VLOOKUP(J104,Paramétrage!$D$6:$F$29,3,0)=0,0,IF(M104="","saisir capacité",K104*P104*VLOOKUP(J104,Paramétrage!$D$6:$F$29,2,0))))</f>
        <v>0</v>
      </c>
      <c r="R104" s="721"/>
      <c r="S104" s="467">
        <f t="shared" si="8"/>
        <v>0</v>
      </c>
      <c r="T104" s="471">
        <f>IF(J104="",0,IF(ISERROR(R104+Q104*VLOOKUP(J104,Paramétrage!$D$6:$F$29,3,0))=TRUE,S104,R104+Q104*VLOOKUP(J104,Paramétrage!$D$6:$F$29,3,0)))</f>
        <v>0</v>
      </c>
      <c r="U104" s="580"/>
      <c r="V104" s="467">
        <f t="shared" si="9"/>
        <v>0</v>
      </c>
      <c r="W104" s="471">
        <f>IF(J104="",0,IF(ISERROR(U104+Q104*VLOOKUP(J104,Paramétrage!$D$6:$F$29,3,0))=TRUE,V104,U104+Q104*VLOOKUP(J104,Paramétrage!$D$6:$F$29,3,0)))</f>
        <v>0</v>
      </c>
      <c r="X104" s="585"/>
      <c r="Y104" s="581"/>
      <c r="Z104" s="581"/>
      <c r="AA104" s="581"/>
      <c r="AB104" s="472">
        <f t="shared" si="13"/>
        <v>0</v>
      </c>
      <c r="AC104" s="588"/>
      <c r="AD104" s="588"/>
      <c r="AE104" s="588"/>
      <c r="AF104" s="588"/>
      <c r="AG104" s="472">
        <f t="shared" si="2"/>
        <v>0</v>
      </c>
      <c r="AH104" s="567"/>
      <c r="AI104" s="567"/>
      <c r="AJ104" s="568"/>
      <c r="AK104" s="473" t="e">
        <f>VLOOKUP(G104,Paramétrage!$L$6:$M$12,2,0)</f>
        <v>#N/A</v>
      </c>
      <c r="AL104" s="177">
        <f t="shared" si="12"/>
        <v>0</v>
      </c>
      <c r="AM104" s="473">
        <f t="shared" si="11"/>
        <v>0</v>
      </c>
    </row>
    <row r="105" spans="1:39" x14ac:dyDescent="0.25">
      <c r="A105" s="822"/>
      <c r="B105" s="744"/>
      <c r="C105" s="742"/>
      <c r="D105" s="745"/>
      <c r="E105" s="609"/>
      <c r="F105" s="596"/>
      <c r="G105" s="596"/>
      <c r="H105" s="598"/>
      <c r="I105" s="599"/>
      <c r="J105" s="581"/>
      <c r="K105" s="580"/>
      <c r="L105" s="603"/>
      <c r="M105" s="604"/>
      <c r="N105" s="608"/>
      <c r="O105" s="602"/>
      <c r="P105" s="715">
        <f>IF(OR(M105="",J105=Paramétrage!$D$9,J105=Paramétrage!$D$12,J105=Paramétrage!$D$15,J105=Paramétrage!$D$18,J105=Paramétrage!$D$22,J105=Paramétrage!$D$25,AND(J105&lt;&gt;Paramétrage!$D$9,N105="Mut+ext")),0,ROUNDUP(L105/M105,0))</f>
        <v>0</v>
      </c>
      <c r="Q105" s="728">
        <f>IF(OR(J105="",N105="Mut+ext"),0,IF(VLOOKUP(J105,Paramétrage!$D$6:$F$29,3,0)=0,0,IF(M105="","saisir capacité",K105*P105*VLOOKUP(J105,Paramétrage!$D$6:$F$29,2,0))))</f>
        <v>0</v>
      </c>
      <c r="R105" s="721"/>
      <c r="S105" s="467">
        <f t="shared" si="8"/>
        <v>0</v>
      </c>
      <c r="T105" s="471">
        <f>IF(J105="",0,IF(ISERROR(R105+Q105*VLOOKUP(J105,Paramétrage!$D$6:$F$29,3,0))=TRUE,S105,R105+Q105*VLOOKUP(J105,Paramétrage!$D$6:$F$29,3,0)))</f>
        <v>0</v>
      </c>
      <c r="U105" s="580"/>
      <c r="V105" s="467">
        <f t="shared" si="9"/>
        <v>0</v>
      </c>
      <c r="W105" s="471">
        <f>IF(J105="",0,IF(ISERROR(U105+Q105*VLOOKUP(J105,Paramétrage!$D$6:$F$29,3,0))=TRUE,V105,U105+Q105*VLOOKUP(J105,Paramétrage!$D$6:$F$29,3,0)))</f>
        <v>0</v>
      </c>
      <c r="X105" s="585"/>
      <c r="Y105" s="581"/>
      <c r="Z105" s="581"/>
      <c r="AA105" s="581"/>
      <c r="AB105" s="472">
        <f t="shared" si="13"/>
        <v>0</v>
      </c>
      <c r="AC105" s="588"/>
      <c r="AD105" s="588"/>
      <c r="AE105" s="588"/>
      <c r="AF105" s="588"/>
      <c r="AG105" s="472">
        <f t="shared" ref="AG105:AG130" si="14">SUM(AC105:AF105)</f>
        <v>0</v>
      </c>
      <c r="AH105" s="567"/>
      <c r="AI105" s="567"/>
      <c r="AJ105" s="568"/>
      <c r="AK105" s="473" t="e">
        <f>VLOOKUP(G105,Paramétrage!$L$6:$M$12,2,0)</f>
        <v>#N/A</v>
      </c>
      <c r="AL105" s="177">
        <f t="shared" si="12"/>
        <v>0</v>
      </c>
      <c r="AM105" s="473">
        <f t="shared" si="11"/>
        <v>0</v>
      </c>
    </row>
    <row r="106" spans="1:39" x14ac:dyDescent="0.25">
      <c r="A106" s="822"/>
      <c r="B106" s="744"/>
      <c r="C106" s="742"/>
      <c r="D106" s="745"/>
      <c r="E106" s="609"/>
      <c r="F106" s="596"/>
      <c r="G106" s="596"/>
      <c r="H106" s="598"/>
      <c r="I106" s="599"/>
      <c r="J106" s="581"/>
      <c r="K106" s="580"/>
      <c r="L106" s="603"/>
      <c r="M106" s="604"/>
      <c r="N106" s="608"/>
      <c r="O106" s="602"/>
      <c r="P106" s="715">
        <f>IF(OR(M106="",J106=Paramétrage!$D$9,J106=Paramétrage!$D$12,J106=Paramétrage!$D$15,J106=Paramétrage!$D$18,J106=Paramétrage!$D$22,J106=Paramétrage!$D$25,AND(J106&lt;&gt;Paramétrage!$D$9,N106="Mut+ext")),0,ROUNDUP(L106/M106,0))</f>
        <v>0</v>
      </c>
      <c r="Q106" s="728">
        <f>IF(OR(J106="",N106="Mut+ext"),0,IF(VLOOKUP(J106,Paramétrage!$D$6:$F$29,3,0)=0,0,IF(M106="","saisir capacité",K106*P106*VLOOKUP(J106,Paramétrage!$D$6:$F$29,2,0))))</f>
        <v>0</v>
      </c>
      <c r="R106" s="721"/>
      <c r="S106" s="467">
        <f t="shared" si="8"/>
        <v>0</v>
      </c>
      <c r="T106" s="471">
        <f>IF(J106="",0,IF(ISERROR(R106+Q106*VLOOKUP(J106,Paramétrage!$D$6:$F$29,3,0))=TRUE,S106,R106+Q106*VLOOKUP(J106,Paramétrage!$D$6:$F$29,3,0)))</f>
        <v>0</v>
      </c>
      <c r="U106" s="580"/>
      <c r="V106" s="467">
        <f t="shared" si="9"/>
        <v>0</v>
      </c>
      <c r="W106" s="471">
        <f>IF(J106="",0,IF(ISERROR(U106+Q106*VLOOKUP(J106,Paramétrage!$D$6:$F$29,3,0))=TRUE,V106,U106+Q106*VLOOKUP(J106,Paramétrage!$D$6:$F$29,3,0)))</f>
        <v>0</v>
      </c>
      <c r="X106" s="585"/>
      <c r="Y106" s="581"/>
      <c r="Z106" s="581"/>
      <c r="AA106" s="581"/>
      <c r="AB106" s="472">
        <f t="shared" si="13"/>
        <v>0</v>
      </c>
      <c r="AC106" s="588"/>
      <c r="AD106" s="588"/>
      <c r="AE106" s="588"/>
      <c r="AF106" s="588"/>
      <c r="AG106" s="472">
        <f t="shared" si="14"/>
        <v>0</v>
      </c>
      <c r="AH106" s="567"/>
      <c r="AI106" s="567"/>
      <c r="AJ106" s="568"/>
      <c r="AK106" s="473" t="e">
        <f>VLOOKUP(G106,Paramétrage!$L$6:$M$12,2,0)</f>
        <v>#N/A</v>
      </c>
      <c r="AL106" s="177">
        <f t="shared" si="12"/>
        <v>0</v>
      </c>
      <c r="AM106" s="473">
        <f t="shared" si="11"/>
        <v>0</v>
      </c>
    </row>
    <row r="107" spans="1:39" x14ac:dyDescent="0.25">
      <c r="A107" s="822"/>
      <c r="B107" s="744"/>
      <c r="C107" s="742"/>
      <c r="D107" s="745"/>
      <c r="E107" s="609"/>
      <c r="F107" s="596"/>
      <c r="G107" s="596"/>
      <c r="H107" s="598"/>
      <c r="I107" s="599"/>
      <c r="J107" s="581"/>
      <c r="K107" s="580"/>
      <c r="L107" s="603"/>
      <c r="M107" s="604"/>
      <c r="N107" s="608"/>
      <c r="O107" s="602"/>
      <c r="P107" s="715">
        <f>IF(OR(M107="",J107=Paramétrage!$D$9,J107=Paramétrage!$D$12,J107=Paramétrage!$D$15,J107=Paramétrage!$D$18,J107=Paramétrage!$D$22,J107=Paramétrage!$D$25,AND(J107&lt;&gt;Paramétrage!$D$9,N107="Mut+ext")),0,ROUNDUP(L107/M107,0))</f>
        <v>0</v>
      </c>
      <c r="Q107" s="728">
        <f>IF(OR(J107="",N107="Mut+ext"),0,IF(VLOOKUP(J107,Paramétrage!$D$6:$F$29,3,0)=0,0,IF(M107="","saisir capacité",K107*P107*VLOOKUP(J107,Paramétrage!$D$6:$F$29,2,0))))</f>
        <v>0</v>
      </c>
      <c r="R107" s="721"/>
      <c r="S107" s="467">
        <f t="shared" si="8"/>
        <v>0</v>
      </c>
      <c r="T107" s="471">
        <f>IF(J107="",0,IF(ISERROR(R107+Q107*VLOOKUP(J107,Paramétrage!$D$6:$F$29,3,0))=TRUE,S107,R107+Q107*VLOOKUP(J107,Paramétrage!$D$6:$F$29,3,0)))</f>
        <v>0</v>
      </c>
      <c r="U107" s="580"/>
      <c r="V107" s="467">
        <f t="shared" si="9"/>
        <v>0</v>
      </c>
      <c r="W107" s="471">
        <f>IF(J107="",0,IF(ISERROR(U107+Q107*VLOOKUP(J107,Paramétrage!$D$6:$F$29,3,0))=TRUE,V107,U107+Q107*VLOOKUP(J107,Paramétrage!$D$6:$F$29,3,0)))</f>
        <v>0</v>
      </c>
      <c r="X107" s="585"/>
      <c r="Y107" s="581"/>
      <c r="Z107" s="581"/>
      <c r="AA107" s="581"/>
      <c r="AB107" s="472">
        <f t="shared" si="13"/>
        <v>0</v>
      </c>
      <c r="AC107" s="588"/>
      <c r="AD107" s="588"/>
      <c r="AE107" s="588"/>
      <c r="AF107" s="588"/>
      <c r="AG107" s="472">
        <f t="shared" si="14"/>
        <v>0</v>
      </c>
      <c r="AH107" s="567"/>
      <c r="AI107" s="567"/>
      <c r="AJ107" s="568"/>
      <c r="AK107" s="473" t="e">
        <f>VLOOKUP(G107,Paramétrage!$L$6:$M$12,2,0)</f>
        <v>#N/A</v>
      </c>
      <c r="AL107" s="177">
        <f t="shared" si="12"/>
        <v>0</v>
      </c>
      <c r="AM107" s="473">
        <f t="shared" si="11"/>
        <v>0</v>
      </c>
    </row>
    <row r="108" spans="1:39" x14ac:dyDescent="0.25">
      <c r="A108" s="822"/>
      <c r="B108" s="744"/>
      <c r="C108" s="742"/>
      <c r="D108" s="745"/>
      <c r="E108" s="609"/>
      <c r="F108" s="596"/>
      <c r="G108" s="596"/>
      <c r="H108" s="598"/>
      <c r="I108" s="599"/>
      <c r="J108" s="581"/>
      <c r="K108" s="580"/>
      <c r="L108" s="603"/>
      <c r="M108" s="604"/>
      <c r="N108" s="608"/>
      <c r="O108" s="602"/>
      <c r="P108" s="715">
        <f>IF(OR(M108="",J108=Paramétrage!$D$9,J108=Paramétrage!$D$12,J108=Paramétrage!$D$15,J108=Paramétrage!$D$18,J108=Paramétrage!$D$22,J108=Paramétrage!$D$25,AND(J108&lt;&gt;Paramétrage!$D$9,N108="Mut+ext")),0,ROUNDUP(L108/M108,0))</f>
        <v>0</v>
      </c>
      <c r="Q108" s="728">
        <f>IF(OR(J108="",N108="Mut+ext"),0,IF(VLOOKUP(J108,Paramétrage!$D$6:$F$29,3,0)=0,0,IF(M108="","saisir capacité",K108*P108*VLOOKUP(J108,Paramétrage!$D$6:$F$29,2,0))))</f>
        <v>0</v>
      </c>
      <c r="R108" s="721"/>
      <c r="S108" s="467">
        <f t="shared" si="8"/>
        <v>0</v>
      </c>
      <c r="T108" s="471">
        <f>IF(J108="",0,IF(ISERROR(R108+Q108*VLOOKUP(J108,Paramétrage!$D$6:$F$29,3,0))=TRUE,S108,R108+Q108*VLOOKUP(J108,Paramétrage!$D$6:$F$29,3,0)))</f>
        <v>0</v>
      </c>
      <c r="U108" s="580"/>
      <c r="V108" s="467">
        <f t="shared" si="9"/>
        <v>0</v>
      </c>
      <c r="W108" s="471">
        <f>IF(J108="",0,IF(ISERROR(U108+Q108*VLOOKUP(J108,Paramétrage!$D$6:$F$29,3,0))=TRUE,V108,U108+Q108*VLOOKUP(J108,Paramétrage!$D$6:$F$29,3,0)))</f>
        <v>0</v>
      </c>
      <c r="X108" s="585"/>
      <c r="Y108" s="581"/>
      <c r="Z108" s="581"/>
      <c r="AA108" s="581"/>
      <c r="AB108" s="472">
        <f t="shared" si="13"/>
        <v>0</v>
      </c>
      <c r="AC108" s="588"/>
      <c r="AD108" s="588"/>
      <c r="AE108" s="588"/>
      <c r="AF108" s="588"/>
      <c r="AG108" s="472">
        <f t="shared" si="14"/>
        <v>0</v>
      </c>
      <c r="AH108" s="567"/>
      <c r="AI108" s="567"/>
      <c r="AJ108" s="568"/>
      <c r="AK108" s="473" t="e">
        <f>VLOOKUP(G108,Paramétrage!$L$6:$M$12,2,0)</f>
        <v>#N/A</v>
      </c>
      <c r="AL108" s="177">
        <f t="shared" si="12"/>
        <v>0</v>
      </c>
      <c r="AM108" s="473">
        <f t="shared" si="11"/>
        <v>0</v>
      </c>
    </row>
    <row r="109" spans="1:39" x14ac:dyDescent="0.25">
      <c r="A109" s="822"/>
      <c r="B109" s="744"/>
      <c r="C109" s="742"/>
      <c r="D109" s="745"/>
      <c r="E109" s="609"/>
      <c r="F109" s="596"/>
      <c r="G109" s="596"/>
      <c r="H109" s="598"/>
      <c r="I109" s="599"/>
      <c r="J109" s="581"/>
      <c r="K109" s="580"/>
      <c r="L109" s="603"/>
      <c r="M109" s="604"/>
      <c r="N109" s="608"/>
      <c r="O109" s="602"/>
      <c r="P109" s="715">
        <f>IF(OR(M109="",J109=Paramétrage!$D$9,J109=Paramétrage!$D$12,J109=Paramétrage!$D$15,J109=Paramétrage!$D$18,J109=Paramétrage!$D$22,J109=Paramétrage!$D$25,AND(J109&lt;&gt;Paramétrage!$D$9,N109="Mut+ext")),0,ROUNDUP(L109/M109,0))</f>
        <v>0</v>
      </c>
      <c r="Q109" s="728">
        <f>IF(OR(J109="",N109="Mut+ext"),0,IF(VLOOKUP(J109,Paramétrage!$D$6:$F$29,3,0)=0,0,IF(M109="","saisir capacité",K109*P109*VLOOKUP(J109,Paramétrage!$D$6:$F$29,2,0))))</f>
        <v>0</v>
      </c>
      <c r="R109" s="721"/>
      <c r="S109" s="467">
        <f t="shared" si="8"/>
        <v>0</v>
      </c>
      <c r="T109" s="471">
        <f>IF(J109="",0,IF(ISERROR(R109+Q109*VLOOKUP(J109,Paramétrage!$D$6:$F$29,3,0))=TRUE,S109,R109+Q109*VLOOKUP(J109,Paramétrage!$D$6:$F$29,3,0)))</f>
        <v>0</v>
      </c>
      <c r="U109" s="580"/>
      <c r="V109" s="467">
        <f t="shared" si="9"/>
        <v>0</v>
      </c>
      <c r="W109" s="471">
        <f>IF(J109="",0,IF(ISERROR(U109+Q109*VLOOKUP(J109,Paramétrage!$D$6:$F$29,3,0))=TRUE,V109,U109+Q109*VLOOKUP(J109,Paramétrage!$D$6:$F$29,3,0)))</f>
        <v>0</v>
      </c>
      <c r="X109" s="585"/>
      <c r="Y109" s="581"/>
      <c r="Z109" s="581"/>
      <c r="AA109" s="581"/>
      <c r="AB109" s="472">
        <f t="shared" si="13"/>
        <v>0</v>
      </c>
      <c r="AC109" s="588"/>
      <c r="AD109" s="588"/>
      <c r="AE109" s="588"/>
      <c r="AF109" s="588"/>
      <c r="AG109" s="472">
        <f t="shared" si="14"/>
        <v>0</v>
      </c>
      <c r="AH109" s="567"/>
      <c r="AI109" s="567"/>
      <c r="AJ109" s="568"/>
      <c r="AK109" s="473" t="e">
        <f>VLOOKUP(G109,Paramétrage!$L$6:$M$12,2,0)</f>
        <v>#N/A</v>
      </c>
      <c r="AL109" s="177">
        <f t="shared" si="12"/>
        <v>0</v>
      </c>
      <c r="AM109" s="473">
        <f t="shared" si="11"/>
        <v>0</v>
      </c>
    </row>
    <row r="110" spans="1:39" x14ac:dyDescent="0.25">
      <c r="A110" s="822"/>
      <c r="B110" s="744"/>
      <c r="C110" s="742"/>
      <c r="D110" s="745"/>
      <c r="E110" s="609"/>
      <c r="F110" s="596"/>
      <c r="G110" s="596"/>
      <c r="H110" s="598"/>
      <c r="I110" s="599"/>
      <c r="J110" s="581"/>
      <c r="K110" s="580"/>
      <c r="L110" s="603"/>
      <c r="M110" s="604"/>
      <c r="N110" s="608"/>
      <c r="O110" s="602"/>
      <c r="P110" s="715">
        <f>IF(OR(M110="",J110=Paramétrage!$D$9,J110=Paramétrage!$D$12,J110=Paramétrage!$D$15,J110=Paramétrage!$D$18,J110=Paramétrage!$D$22,J110=Paramétrage!$D$25,AND(J110&lt;&gt;Paramétrage!$D$9,N110="Mut+ext")),0,ROUNDUP(L110/M110,0))</f>
        <v>0</v>
      </c>
      <c r="Q110" s="728">
        <f>IF(OR(J110="",N110="Mut+ext"),0,IF(VLOOKUP(J110,Paramétrage!$D$6:$F$29,3,0)=0,0,IF(M110="","saisir capacité",K110*P110*VLOOKUP(J110,Paramétrage!$D$6:$F$29,2,0))))</f>
        <v>0</v>
      </c>
      <c r="R110" s="721"/>
      <c r="S110" s="467">
        <f t="shared" si="8"/>
        <v>0</v>
      </c>
      <c r="T110" s="471">
        <f>IF(J110="",0,IF(ISERROR(R110+Q110*VLOOKUP(J110,Paramétrage!$D$6:$F$29,3,0))=TRUE,S110,R110+Q110*VLOOKUP(J110,Paramétrage!$D$6:$F$29,3,0)))</f>
        <v>0</v>
      </c>
      <c r="U110" s="580"/>
      <c r="V110" s="467">
        <f t="shared" si="9"/>
        <v>0</v>
      </c>
      <c r="W110" s="471">
        <f>IF(J110="",0,IF(ISERROR(U110+Q110*VLOOKUP(J110,Paramétrage!$D$6:$F$29,3,0))=TRUE,V110,U110+Q110*VLOOKUP(J110,Paramétrage!$D$6:$F$29,3,0)))</f>
        <v>0</v>
      </c>
      <c r="X110" s="585"/>
      <c r="Y110" s="581"/>
      <c r="Z110" s="581"/>
      <c r="AA110" s="581"/>
      <c r="AB110" s="472">
        <f t="shared" si="13"/>
        <v>0</v>
      </c>
      <c r="AC110" s="588"/>
      <c r="AD110" s="588"/>
      <c r="AE110" s="588"/>
      <c r="AF110" s="588"/>
      <c r="AG110" s="472">
        <f t="shared" si="14"/>
        <v>0</v>
      </c>
      <c r="AH110" s="567"/>
      <c r="AI110" s="567"/>
      <c r="AJ110" s="568"/>
      <c r="AK110" s="473" t="e">
        <f>VLOOKUP(G110,Paramétrage!$L$6:$M$12,2,0)</f>
        <v>#N/A</v>
      </c>
      <c r="AL110" s="177">
        <f t="shared" si="12"/>
        <v>0</v>
      </c>
      <c r="AM110" s="473">
        <f t="shared" si="11"/>
        <v>0</v>
      </c>
    </row>
    <row r="111" spans="1:39" x14ac:dyDescent="0.25">
      <c r="A111" s="822"/>
      <c r="B111" s="744"/>
      <c r="C111" s="742"/>
      <c r="D111" s="745"/>
      <c r="E111" s="609"/>
      <c r="F111" s="596"/>
      <c r="G111" s="596"/>
      <c r="H111" s="598"/>
      <c r="I111" s="599"/>
      <c r="J111" s="581"/>
      <c r="K111" s="580"/>
      <c r="L111" s="603"/>
      <c r="M111" s="604"/>
      <c r="N111" s="608"/>
      <c r="O111" s="602"/>
      <c r="P111" s="715">
        <f>IF(OR(M111="",J111=Paramétrage!$D$9,J111=Paramétrage!$D$12,J111=Paramétrage!$D$15,J111=Paramétrage!$D$18,J111=Paramétrage!$D$22,J111=Paramétrage!$D$25,AND(J111&lt;&gt;Paramétrage!$D$9,N111="Mut+ext")),0,ROUNDUP(L111/M111,0))</f>
        <v>0</v>
      </c>
      <c r="Q111" s="728">
        <f>IF(OR(J111="",N111="Mut+ext"),0,IF(VLOOKUP(J111,Paramétrage!$D$6:$F$29,3,0)=0,0,IF(M111="","saisir capacité",K111*P111*VLOOKUP(J111,Paramétrage!$D$6:$F$29,2,0))))</f>
        <v>0</v>
      </c>
      <c r="R111" s="721"/>
      <c r="S111" s="467">
        <f t="shared" si="8"/>
        <v>0</v>
      </c>
      <c r="T111" s="471">
        <f>IF(J111="",0,IF(ISERROR(R111+Q111*VLOOKUP(J111,Paramétrage!$D$6:$F$29,3,0))=TRUE,S111,R111+Q111*VLOOKUP(J111,Paramétrage!$D$6:$F$29,3,0)))</f>
        <v>0</v>
      </c>
      <c r="U111" s="580"/>
      <c r="V111" s="467">
        <f t="shared" si="9"/>
        <v>0</v>
      </c>
      <c r="W111" s="471">
        <f>IF(J111="",0,IF(ISERROR(U111+Q111*VLOOKUP(J111,Paramétrage!$D$6:$F$29,3,0))=TRUE,V111,U111+Q111*VLOOKUP(J111,Paramétrage!$D$6:$F$29,3,0)))</f>
        <v>0</v>
      </c>
      <c r="X111" s="585"/>
      <c r="Y111" s="581"/>
      <c r="Z111" s="581"/>
      <c r="AA111" s="581"/>
      <c r="AB111" s="472">
        <f t="shared" si="13"/>
        <v>0</v>
      </c>
      <c r="AC111" s="588"/>
      <c r="AD111" s="588"/>
      <c r="AE111" s="588"/>
      <c r="AF111" s="588"/>
      <c r="AG111" s="472">
        <f t="shared" si="14"/>
        <v>0</v>
      </c>
      <c r="AH111" s="567"/>
      <c r="AI111" s="567"/>
      <c r="AJ111" s="568"/>
      <c r="AK111" s="473" t="e">
        <f>VLOOKUP(G111,Paramétrage!$L$6:$M$12,2,0)</f>
        <v>#N/A</v>
      </c>
      <c r="AL111" s="177">
        <f t="shared" si="12"/>
        <v>0</v>
      </c>
      <c r="AM111" s="473">
        <f t="shared" si="11"/>
        <v>0</v>
      </c>
    </row>
    <row r="112" spans="1:39" x14ac:dyDescent="0.25">
      <c r="A112" s="822"/>
      <c r="B112" s="744"/>
      <c r="C112" s="742"/>
      <c r="D112" s="745"/>
      <c r="E112" s="609"/>
      <c r="F112" s="596"/>
      <c r="G112" s="596"/>
      <c r="H112" s="598"/>
      <c r="I112" s="599"/>
      <c r="J112" s="581"/>
      <c r="K112" s="580"/>
      <c r="L112" s="603"/>
      <c r="M112" s="604"/>
      <c r="N112" s="608"/>
      <c r="O112" s="602"/>
      <c r="P112" s="715">
        <f>IF(OR(M112="",J112=Paramétrage!$D$9,J112=Paramétrage!$D$12,J112=Paramétrage!$D$15,J112=Paramétrage!$D$18,J112=Paramétrage!$D$22,J112=Paramétrage!$D$25,AND(J112&lt;&gt;Paramétrage!$D$9,N112="Mut+ext")),0,ROUNDUP(L112/M112,0))</f>
        <v>0</v>
      </c>
      <c r="Q112" s="728">
        <f>IF(OR(J112="",N112="Mut+ext"),0,IF(VLOOKUP(J112,Paramétrage!$D$6:$F$29,3,0)=0,0,IF(M112="","saisir capacité",K112*P112*VLOOKUP(J112,Paramétrage!$D$6:$F$29,2,0))))</f>
        <v>0</v>
      </c>
      <c r="R112" s="721"/>
      <c r="S112" s="467">
        <f t="shared" si="8"/>
        <v>0</v>
      </c>
      <c r="T112" s="471">
        <f>IF(J112="",0,IF(ISERROR(R112+Q112*VLOOKUP(J112,Paramétrage!$D$6:$F$29,3,0))=TRUE,S112,R112+Q112*VLOOKUP(J112,Paramétrage!$D$6:$F$29,3,0)))</f>
        <v>0</v>
      </c>
      <c r="U112" s="580"/>
      <c r="V112" s="467">
        <f t="shared" si="9"/>
        <v>0</v>
      </c>
      <c r="W112" s="471">
        <f>IF(J112="",0,IF(ISERROR(U112+Q112*VLOOKUP(J112,Paramétrage!$D$6:$F$29,3,0))=TRUE,V112,U112+Q112*VLOOKUP(J112,Paramétrage!$D$6:$F$29,3,0)))</f>
        <v>0</v>
      </c>
      <c r="X112" s="585"/>
      <c r="Y112" s="581"/>
      <c r="Z112" s="581"/>
      <c r="AA112" s="581"/>
      <c r="AB112" s="472">
        <f t="shared" si="13"/>
        <v>0</v>
      </c>
      <c r="AC112" s="588"/>
      <c r="AD112" s="588"/>
      <c r="AE112" s="588"/>
      <c r="AF112" s="588"/>
      <c r="AG112" s="472">
        <f t="shared" si="14"/>
        <v>0</v>
      </c>
      <c r="AH112" s="567"/>
      <c r="AI112" s="567"/>
      <c r="AJ112" s="568"/>
      <c r="AK112" s="473" t="e">
        <f>VLOOKUP(G112,Paramétrage!$L$6:$M$12,2,0)</f>
        <v>#N/A</v>
      </c>
      <c r="AL112" s="177">
        <f t="shared" si="12"/>
        <v>0</v>
      </c>
      <c r="AM112" s="473">
        <f t="shared" si="11"/>
        <v>0</v>
      </c>
    </row>
    <row r="113" spans="1:39" x14ac:dyDescent="0.25">
      <c r="A113" s="822"/>
      <c r="B113" s="744"/>
      <c r="C113" s="742"/>
      <c r="D113" s="745"/>
      <c r="E113" s="609"/>
      <c r="F113" s="596"/>
      <c r="G113" s="596"/>
      <c r="H113" s="598"/>
      <c r="I113" s="599"/>
      <c r="J113" s="581"/>
      <c r="K113" s="580"/>
      <c r="L113" s="603"/>
      <c r="M113" s="604"/>
      <c r="N113" s="608"/>
      <c r="O113" s="602"/>
      <c r="P113" s="715">
        <f>IF(OR(M113="",J113=Paramétrage!$D$9,J113=Paramétrage!$D$12,J113=Paramétrage!$D$15,J113=Paramétrage!$D$18,J113=Paramétrage!$D$22,J113=Paramétrage!$D$25,AND(J113&lt;&gt;Paramétrage!$D$9,N113="Mut+ext")),0,ROUNDUP(L113/M113,0))</f>
        <v>0</v>
      </c>
      <c r="Q113" s="728">
        <f>IF(OR(J113="",N113="Mut+ext"),0,IF(VLOOKUP(J113,Paramétrage!$D$6:$F$29,3,0)=0,0,IF(M113="","saisir capacité",K113*P113*VLOOKUP(J113,Paramétrage!$D$6:$F$29,2,0))))</f>
        <v>0</v>
      </c>
      <c r="R113" s="721"/>
      <c r="S113" s="467">
        <f t="shared" si="8"/>
        <v>0</v>
      </c>
      <c r="T113" s="471">
        <f>IF(J113="",0,IF(ISERROR(R113+Q113*VLOOKUP(J113,Paramétrage!$D$6:$F$29,3,0))=TRUE,S113,R113+Q113*VLOOKUP(J113,Paramétrage!$D$6:$F$29,3,0)))</f>
        <v>0</v>
      </c>
      <c r="U113" s="580"/>
      <c r="V113" s="467">
        <f t="shared" si="9"/>
        <v>0</v>
      </c>
      <c r="W113" s="471">
        <f>IF(J113="",0,IF(ISERROR(U113+Q113*VLOOKUP(J113,Paramétrage!$D$6:$F$29,3,0))=TRUE,V113,U113+Q113*VLOOKUP(J113,Paramétrage!$D$6:$F$29,3,0)))</f>
        <v>0</v>
      </c>
      <c r="X113" s="585"/>
      <c r="Y113" s="581"/>
      <c r="Z113" s="581"/>
      <c r="AA113" s="581"/>
      <c r="AB113" s="472">
        <f t="shared" si="13"/>
        <v>0</v>
      </c>
      <c r="AC113" s="588"/>
      <c r="AD113" s="588"/>
      <c r="AE113" s="588"/>
      <c r="AF113" s="588"/>
      <c r="AG113" s="472">
        <f t="shared" si="14"/>
        <v>0</v>
      </c>
      <c r="AH113" s="567"/>
      <c r="AI113" s="567"/>
      <c r="AJ113" s="568"/>
      <c r="AK113" s="473" t="e">
        <f>VLOOKUP(G113,Paramétrage!$L$6:$M$12,2,0)</f>
        <v>#N/A</v>
      </c>
      <c r="AL113" s="177">
        <f t="shared" si="12"/>
        <v>0</v>
      </c>
      <c r="AM113" s="473">
        <f t="shared" si="11"/>
        <v>0</v>
      </c>
    </row>
    <row r="114" spans="1:39" x14ac:dyDescent="0.25">
      <c r="A114" s="822"/>
      <c r="B114" s="744"/>
      <c r="C114" s="742"/>
      <c r="D114" s="745"/>
      <c r="E114" s="609"/>
      <c r="F114" s="596"/>
      <c r="G114" s="596"/>
      <c r="H114" s="598"/>
      <c r="I114" s="599"/>
      <c r="J114" s="581"/>
      <c r="K114" s="580"/>
      <c r="L114" s="603"/>
      <c r="M114" s="604"/>
      <c r="N114" s="608"/>
      <c r="O114" s="602"/>
      <c r="P114" s="715">
        <f>IF(OR(M114="",J114=Paramétrage!$D$9,J114=Paramétrage!$D$12,J114=Paramétrage!$D$15,J114=Paramétrage!$D$18,J114=Paramétrage!$D$22,J114=Paramétrage!$D$25,AND(J114&lt;&gt;Paramétrage!$D$9,N114="Mut+ext")),0,ROUNDUP(L114/M114,0))</f>
        <v>0</v>
      </c>
      <c r="Q114" s="728">
        <f>IF(OR(J114="",N114="Mut+ext"),0,IF(VLOOKUP(J114,Paramétrage!$D$6:$F$29,3,0)=0,0,IF(M114="","saisir capacité",K114*P114*VLOOKUP(J114,Paramétrage!$D$6:$F$29,2,0))))</f>
        <v>0</v>
      </c>
      <c r="R114" s="721"/>
      <c r="S114" s="467">
        <f t="shared" si="8"/>
        <v>0</v>
      </c>
      <c r="T114" s="471">
        <f>IF(J114="",0,IF(ISERROR(R114+Q114*VLOOKUP(J114,Paramétrage!$D$6:$F$29,3,0))=TRUE,S114,R114+Q114*VLOOKUP(J114,Paramétrage!$D$6:$F$29,3,0)))</f>
        <v>0</v>
      </c>
      <c r="U114" s="580"/>
      <c r="V114" s="467">
        <f t="shared" si="9"/>
        <v>0</v>
      </c>
      <c r="W114" s="471">
        <f>IF(J114="",0,IF(ISERROR(U114+Q114*VLOOKUP(J114,Paramétrage!$D$6:$F$29,3,0))=TRUE,V114,U114+Q114*VLOOKUP(J114,Paramétrage!$D$6:$F$29,3,0)))</f>
        <v>0</v>
      </c>
      <c r="X114" s="585"/>
      <c r="Y114" s="581"/>
      <c r="Z114" s="581"/>
      <c r="AA114" s="581"/>
      <c r="AB114" s="472">
        <f t="shared" si="13"/>
        <v>0</v>
      </c>
      <c r="AC114" s="588"/>
      <c r="AD114" s="588"/>
      <c r="AE114" s="588"/>
      <c r="AF114" s="588"/>
      <c r="AG114" s="472">
        <f t="shared" si="14"/>
        <v>0</v>
      </c>
      <c r="AH114" s="567"/>
      <c r="AI114" s="567"/>
      <c r="AJ114" s="568"/>
      <c r="AK114" s="473" t="e">
        <f>VLOOKUP(G114,Paramétrage!$L$6:$M$12,2,0)</f>
        <v>#N/A</v>
      </c>
      <c r="AL114" s="177">
        <f t="shared" si="12"/>
        <v>0</v>
      </c>
      <c r="AM114" s="473">
        <f t="shared" si="11"/>
        <v>0</v>
      </c>
    </row>
    <row r="115" spans="1:39" x14ac:dyDescent="0.25">
      <c r="A115" s="822"/>
      <c r="B115" s="744"/>
      <c r="C115" s="742"/>
      <c r="D115" s="745"/>
      <c r="E115" s="609"/>
      <c r="F115" s="596"/>
      <c r="G115" s="596"/>
      <c r="H115" s="598"/>
      <c r="I115" s="599"/>
      <c r="J115" s="581"/>
      <c r="K115" s="580"/>
      <c r="L115" s="603"/>
      <c r="M115" s="604"/>
      <c r="N115" s="608"/>
      <c r="O115" s="602"/>
      <c r="P115" s="715">
        <f>IF(OR(M115="",J115=Paramétrage!$D$9,J115=Paramétrage!$D$12,J115=Paramétrage!$D$15,J115=Paramétrage!$D$18,J115=Paramétrage!$D$22,J115=Paramétrage!$D$25,AND(J115&lt;&gt;Paramétrage!$D$9,N115="Mut+ext")),0,ROUNDUP(L115/M115,0))</f>
        <v>0</v>
      </c>
      <c r="Q115" s="728">
        <f>IF(OR(J115="",N115="Mut+ext"),0,IF(VLOOKUP(J115,Paramétrage!$D$6:$F$29,3,0)=0,0,IF(M115="","saisir capacité",K115*P115*VLOOKUP(J115,Paramétrage!$D$6:$F$29,2,0))))</f>
        <v>0</v>
      </c>
      <c r="R115" s="721"/>
      <c r="S115" s="467">
        <f t="shared" si="8"/>
        <v>0</v>
      </c>
      <c r="T115" s="471">
        <f>IF(J115="",0,IF(ISERROR(R115+Q115*VLOOKUP(J115,Paramétrage!$D$6:$F$29,3,0))=TRUE,S115,R115+Q115*VLOOKUP(J115,Paramétrage!$D$6:$F$29,3,0)))</f>
        <v>0</v>
      </c>
      <c r="U115" s="580"/>
      <c r="V115" s="467">
        <f t="shared" si="9"/>
        <v>0</v>
      </c>
      <c r="W115" s="471">
        <f>IF(J115="",0,IF(ISERROR(U115+Q115*VLOOKUP(J115,Paramétrage!$D$6:$F$29,3,0))=TRUE,V115,U115+Q115*VLOOKUP(J115,Paramétrage!$D$6:$F$29,3,0)))</f>
        <v>0</v>
      </c>
      <c r="X115" s="585"/>
      <c r="Y115" s="581"/>
      <c r="Z115" s="581"/>
      <c r="AA115" s="581"/>
      <c r="AB115" s="472">
        <f t="shared" si="13"/>
        <v>0</v>
      </c>
      <c r="AC115" s="588"/>
      <c r="AD115" s="588"/>
      <c r="AE115" s="588"/>
      <c r="AF115" s="588"/>
      <c r="AG115" s="472">
        <f t="shared" si="14"/>
        <v>0</v>
      </c>
      <c r="AH115" s="567"/>
      <c r="AI115" s="567"/>
      <c r="AJ115" s="568"/>
      <c r="AK115" s="473" t="e">
        <f>VLOOKUP(G115,Paramétrage!$L$6:$M$12,2,0)</f>
        <v>#N/A</v>
      </c>
      <c r="AL115" s="177">
        <f t="shared" si="12"/>
        <v>0</v>
      </c>
      <c r="AM115" s="473">
        <f t="shared" si="11"/>
        <v>0</v>
      </c>
    </row>
    <row r="116" spans="1:39" x14ac:dyDescent="0.25">
      <c r="A116" s="822"/>
      <c r="B116" s="744"/>
      <c r="C116" s="742"/>
      <c r="D116" s="745"/>
      <c r="E116" s="609"/>
      <c r="F116" s="596"/>
      <c r="G116" s="596"/>
      <c r="H116" s="598"/>
      <c r="I116" s="599"/>
      <c r="J116" s="581"/>
      <c r="K116" s="580"/>
      <c r="L116" s="603"/>
      <c r="M116" s="604"/>
      <c r="N116" s="608"/>
      <c r="O116" s="602"/>
      <c r="P116" s="715">
        <f>IF(OR(M116="",J116=Paramétrage!$D$9,J116=Paramétrage!$D$12,J116=Paramétrage!$D$15,J116=Paramétrage!$D$18,J116=Paramétrage!$D$22,J116=Paramétrage!$D$25,AND(J116&lt;&gt;Paramétrage!$D$9,N116="Mut+ext")),0,ROUNDUP(L116/M116,0))</f>
        <v>0</v>
      </c>
      <c r="Q116" s="728">
        <f>IF(OR(J116="",N116="Mut+ext"),0,IF(VLOOKUP(J116,Paramétrage!$D$6:$F$29,3,0)=0,0,IF(M116="","saisir capacité",K116*P116*VLOOKUP(J116,Paramétrage!$D$6:$F$29,2,0))))</f>
        <v>0</v>
      </c>
      <c r="R116" s="721"/>
      <c r="S116" s="467">
        <f t="shared" si="8"/>
        <v>0</v>
      </c>
      <c r="T116" s="471">
        <f>IF(J116="",0,IF(ISERROR(R116+Q116*VLOOKUP(J116,Paramétrage!$D$6:$F$29,3,0))=TRUE,S116,R116+Q116*VLOOKUP(J116,Paramétrage!$D$6:$F$29,3,0)))</f>
        <v>0</v>
      </c>
      <c r="U116" s="580"/>
      <c r="V116" s="467">
        <f t="shared" si="9"/>
        <v>0</v>
      </c>
      <c r="W116" s="471">
        <f>IF(J116="",0,IF(ISERROR(U116+Q116*VLOOKUP(J116,Paramétrage!$D$6:$F$29,3,0))=TRUE,V116,U116+Q116*VLOOKUP(J116,Paramétrage!$D$6:$F$29,3,0)))</f>
        <v>0</v>
      </c>
      <c r="X116" s="585"/>
      <c r="Y116" s="581"/>
      <c r="Z116" s="581"/>
      <c r="AA116" s="581"/>
      <c r="AB116" s="472">
        <f t="shared" si="13"/>
        <v>0</v>
      </c>
      <c r="AC116" s="588"/>
      <c r="AD116" s="588"/>
      <c r="AE116" s="588"/>
      <c r="AF116" s="588"/>
      <c r="AG116" s="472">
        <f t="shared" si="14"/>
        <v>0</v>
      </c>
      <c r="AH116" s="567"/>
      <c r="AI116" s="567"/>
      <c r="AJ116" s="568"/>
      <c r="AK116" s="473" t="e">
        <f>VLOOKUP(G116,Paramétrage!$L$6:$M$12,2,0)</f>
        <v>#N/A</v>
      </c>
      <c r="AL116" s="177">
        <f t="shared" si="12"/>
        <v>0</v>
      </c>
      <c r="AM116" s="473">
        <f t="shared" si="11"/>
        <v>0</v>
      </c>
    </row>
    <row r="117" spans="1:39" x14ac:dyDescent="0.25">
      <c r="A117" s="822"/>
      <c r="B117" s="744"/>
      <c r="C117" s="742"/>
      <c r="D117" s="745"/>
      <c r="E117" s="609"/>
      <c r="F117" s="596"/>
      <c r="G117" s="596"/>
      <c r="H117" s="598"/>
      <c r="I117" s="599"/>
      <c r="J117" s="581"/>
      <c r="K117" s="580"/>
      <c r="L117" s="603"/>
      <c r="M117" s="604"/>
      <c r="N117" s="608"/>
      <c r="O117" s="602"/>
      <c r="P117" s="715">
        <f>IF(OR(M117="",J117=Paramétrage!$D$9,J117=Paramétrage!$D$12,J117=Paramétrage!$D$15,J117=Paramétrage!$D$18,J117=Paramétrage!$D$22,J117=Paramétrage!$D$25,AND(J117&lt;&gt;Paramétrage!$D$9,N117="Mut+ext")),0,ROUNDUP(L117/M117,0))</f>
        <v>0</v>
      </c>
      <c r="Q117" s="728">
        <f>IF(OR(J117="",N117="Mut+ext"),0,IF(VLOOKUP(J117,Paramétrage!$D$6:$F$29,3,0)=0,0,IF(M117="","saisir capacité",K117*P117*VLOOKUP(J117,Paramétrage!$D$6:$F$29,2,0))))</f>
        <v>0</v>
      </c>
      <c r="R117" s="721"/>
      <c r="S117" s="467">
        <f t="shared" si="8"/>
        <v>0</v>
      </c>
      <c r="T117" s="471">
        <f>IF(J117="",0,IF(ISERROR(R117+Q117*VLOOKUP(J117,Paramétrage!$D$6:$F$29,3,0))=TRUE,S117,R117+Q117*VLOOKUP(J117,Paramétrage!$D$6:$F$29,3,0)))</f>
        <v>0</v>
      </c>
      <c r="U117" s="580"/>
      <c r="V117" s="467">
        <f t="shared" si="9"/>
        <v>0</v>
      </c>
      <c r="W117" s="471">
        <f>IF(J117="",0,IF(ISERROR(U117+Q117*VLOOKUP(J117,Paramétrage!$D$6:$F$29,3,0))=TRUE,V117,U117+Q117*VLOOKUP(J117,Paramétrage!$D$6:$F$29,3,0)))</f>
        <v>0</v>
      </c>
      <c r="X117" s="585"/>
      <c r="Y117" s="581"/>
      <c r="Z117" s="581"/>
      <c r="AA117" s="581"/>
      <c r="AB117" s="472">
        <f t="shared" si="13"/>
        <v>0</v>
      </c>
      <c r="AC117" s="588"/>
      <c r="AD117" s="588"/>
      <c r="AE117" s="588"/>
      <c r="AF117" s="588"/>
      <c r="AG117" s="472">
        <f t="shared" si="14"/>
        <v>0</v>
      </c>
      <c r="AH117" s="567"/>
      <c r="AI117" s="567"/>
      <c r="AJ117" s="568"/>
      <c r="AK117" s="473" t="e">
        <f>VLOOKUP(G117,Paramétrage!$L$6:$M$12,2,0)</f>
        <v>#N/A</v>
      </c>
      <c r="AL117" s="177">
        <f t="shared" si="12"/>
        <v>0</v>
      </c>
      <c r="AM117" s="473">
        <f t="shared" si="11"/>
        <v>0</v>
      </c>
    </row>
    <row r="118" spans="1:39" x14ac:dyDescent="0.25">
      <c r="A118" s="822"/>
      <c r="B118" s="744"/>
      <c r="C118" s="742"/>
      <c r="D118" s="745"/>
      <c r="E118" s="609"/>
      <c r="F118" s="596"/>
      <c r="G118" s="596"/>
      <c r="H118" s="598"/>
      <c r="I118" s="599"/>
      <c r="J118" s="581"/>
      <c r="K118" s="580"/>
      <c r="L118" s="603"/>
      <c r="M118" s="604"/>
      <c r="N118" s="608"/>
      <c r="O118" s="602"/>
      <c r="P118" s="715">
        <f>IF(OR(M118="",J118=Paramétrage!$D$9,J118=Paramétrage!$D$12,J118=Paramétrage!$D$15,J118=Paramétrage!$D$18,J118=Paramétrage!$D$22,J118=Paramétrage!$D$25,AND(J118&lt;&gt;Paramétrage!$D$9,N118="Mut+ext")),0,ROUNDUP(L118/M118,0))</f>
        <v>0</v>
      </c>
      <c r="Q118" s="728">
        <f>IF(OR(J118="",N118="Mut+ext"),0,IF(VLOOKUP(J118,Paramétrage!$D$6:$F$29,3,0)=0,0,IF(M118="","saisir capacité",K118*P118*VLOOKUP(J118,Paramétrage!$D$6:$F$29,2,0))))</f>
        <v>0</v>
      </c>
      <c r="R118" s="721"/>
      <c r="S118" s="467">
        <f t="shared" si="8"/>
        <v>0</v>
      </c>
      <c r="T118" s="471">
        <f>IF(J118="",0,IF(ISERROR(R118+Q118*VLOOKUP(J118,Paramétrage!$D$6:$F$29,3,0))=TRUE,S118,R118+Q118*VLOOKUP(J118,Paramétrage!$D$6:$F$29,3,0)))</f>
        <v>0</v>
      </c>
      <c r="U118" s="580"/>
      <c r="V118" s="467">
        <f t="shared" si="9"/>
        <v>0</v>
      </c>
      <c r="W118" s="471">
        <f>IF(J118="",0,IF(ISERROR(U118+Q118*VLOOKUP(J118,Paramétrage!$D$6:$F$29,3,0))=TRUE,V118,U118+Q118*VLOOKUP(J118,Paramétrage!$D$6:$F$29,3,0)))</f>
        <v>0</v>
      </c>
      <c r="X118" s="585"/>
      <c r="Y118" s="581"/>
      <c r="Z118" s="581"/>
      <c r="AA118" s="581"/>
      <c r="AB118" s="472">
        <f t="shared" si="13"/>
        <v>0</v>
      </c>
      <c r="AC118" s="588"/>
      <c r="AD118" s="588"/>
      <c r="AE118" s="588"/>
      <c r="AF118" s="588"/>
      <c r="AG118" s="472">
        <f t="shared" si="14"/>
        <v>0</v>
      </c>
      <c r="AH118" s="567"/>
      <c r="AI118" s="567"/>
      <c r="AJ118" s="568"/>
      <c r="AK118" s="473" t="e">
        <f>VLOOKUP(G118,Paramétrage!$L$6:$M$12,2,0)</f>
        <v>#N/A</v>
      </c>
      <c r="AL118" s="177">
        <f t="shared" si="12"/>
        <v>0</v>
      </c>
      <c r="AM118" s="473">
        <f t="shared" si="11"/>
        <v>0</v>
      </c>
    </row>
    <row r="119" spans="1:39" x14ac:dyDescent="0.25">
      <c r="A119" s="822"/>
      <c r="B119" s="744"/>
      <c r="C119" s="742"/>
      <c r="D119" s="745"/>
      <c r="E119" s="609"/>
      <c r="F119" s="596"/>
      <c r="G119" s="596"/>
      <c r="H119" s="598"/>
      <c r="I119" s="599"/>
      <c r="J119" s="581"/>
      <c r="K119" s="580"/>
      <c r="L119" s="603"/>
      <c r="M119" s="604"/>
      <c r="N119" s="608"/>
      <c r="O119" s="602"/>
      <c r="P119" s="715">
        <f>IF(OR(M119="",J119=Paramétrage!$D$9,J119=Paramétrage!$D$12,J119=Paramétrage!$D$15,J119=Paramétrage!$D$18,J119=Paramétrage!$D$22,J119=Paramétrage!$D$25,AND(J119&lt;&gt;Paramétrage!$D$9,N119="Mut+ext")),0,ROUNDUP(L119/M119,0))</f>
        <v>0</v>
      </c>
      <c r="Q119" s="728">
        <f>IF(OR(J119="",N119="Mut+ext"),0,IF(VLOOKUP(J119,Paramétrage!$D$6:$F$29,3,0)=0,0,IF(M119="","saisir capacité",K119*P119*VLOOKUP(J119,Paramétrage!$D$6:$F$29,2,0))))</f>
        <v>0</v>
      </c>
      <c r="R119" s="721"/>
      <c r="S119" s="467">
        <f t="shared" si="8"/>
        <v>0</v>
      </c>
      <c r="T119" s="471">
        <f>IF(J119="",0,IF(ISERROR(R119+Q119*VLOOKUP(J119,Paramétrage!$D$6:$F$29,3,0))=TRUE,S119,R119+Q119*VLOOKUP(J119,Paramétrage!$D$6:$F$29,3,0)))</f>
        <v>0</v>
      </c>
      <c r="U119" s="580"/>
      <c r="V119" s="467">
        <f t="shared" si="9"/>
        <v>0</v>
      </c>
      <c r="W119" s="471">
        <f>IF(J119="",0,IF(ISERROR(U119+Q119*VLOOKUP(J119,Paramétrage!$D$6:$F$29,3,0))=TRUE,V119,U119+Q119*VLOOKUP(J119,Paramétrage!$D$6:$F$29,3,0)))</f>
        <v>0</v>
      </c>
      <c r="X119" s="585"/>
      <c r="Y119" s="581"/>
      <c r="Z119" s="581"/>
      <c r="AA119" s="581"/>
      <c r="AB119" s="472">
        <f t="shared" si="13"/>
        <v>0</v>
      </c>
      <c r="AC119" s="588"/>
      <c r="AD119" s="588"/>
      <c r="AE119" s="588"/>
      <c r="AF119" s="588"/>
      <c r="AG119" s="472">
        <f t="shared" si="14"/>
        <v>0</v>
      </c>
      <c r="AH119" s="567"/>
      <c r="AI119" s="567"/>
      <c r="AJ119" s="568"/>
      <c r="AK119" s="473" t="e">
        <f>VLOOKUP(G119,Paramétrage!$L$6:$M$12,2,0)</f>
        <v>#N/A</v>
      </c>
      <c r="AL119" s="177">
        <f t="shared" si="12"/>
        <v>0</v>
      </c>
      <c r="AM119" s="473">
        <f t="shared" si="11"/>
        <v>0</v>
      </c>
    </row>
    <row r="120" spans="1:39" x14ac:dyDescent="0.25">
      <c r="A120" s="822"/>
      <c r="B120" s="744"/>
      <c r="C120" s="742"/>
      <c r="D120" s="745"/>
      <c r="E120" s="609"/>
      <c r="F120" s="596"/>
      <c r="G120" s="596"/>
      <c r="H120" s="598"/>
      <c r="I120" s="599"/>
      <c r="J120" s="581"/>
      <c r="K120" s="580"/>
      <c r="L120" s="603"/>
      <c r="M120" s="604"/>
      <c r="N120" s="608"/>
      <c r="O120" s="602"/>
      <c r="P120" s="715">
        <f>IF(OR(M120="",J120=Paramétrage!$D$9,J120=Paramétrage!$D$12,J120=Paramétrage!$D$15,J120=Paramétrage!$D$18,J120=Paramétrage!$D$22,J120=Paramétrage!$D$25,AND(J120&lt;&gt;Paramétrage!$D$9,N120="Mut+ext")),0,ROUNDUP(L120/M120,0))</f>
        <v>0</v>
      </c>
      <c r="Q120" s="728">
        <f>IF(OR(J120="",N120="Mut+ext"),0,IF(VLOOKUP(J120,Paramétrage!$D$6:$F$29,3,0)=0,0,IF(M120="","saisir capacité",K120*P120*VLOOKUP(J120,Paramétrage!$D$6:$F$29,2,0))))</f>
        <v>0</v>
      </c>
      <c r="R120" s="721"/>
      <c r="S120" s="467">
        <f t="shared" si="8"/>
        <v>0</v>
      </c>
      <c r="T120" s="471">
        <f>IF(J120="",0,IF(ISERROR(R120+Q120*VLOOKUP(J120,Paramétrage!$D$6:$F$29,3,0))=TRUE,S120,R120+Q120*VLOOKUP(J120,Paramétrage!$D$6:$F$29,3,0)))</f>
        <v>0</v>
      </c>
      <c r="U120" s="580"/>
      <c r="V120" s="467">
        <f t="shared" si="9"/>
        <v>0</v>
      </c>
      <c r="W120" s="471">
        <f>IF(J120="",0,IF(ISERROR(U120+Q120*VLOOKUP(J120,Paramétrage!$D$6:$F$29,3,0))=TRUE,V120,U120+Q120*VLOOKUP(J120,Paramétrage!$D$6:$F$29,3,0)))</f>
        <v>0</v>
      </c>
      <c r="X120" s="585"/>
      <c r="Y120" s="581"/>
      <c r="Z120" s="581"/>
      <c r="AA120" s="581"/>
      <c r="AB120" s="472">
        <f t="shared" si="13"/>
        <v>0</v>
      </c>
      <c r="AC120" s="588"/>
      <c r="AD120" s="588"/>
      <c r="AE120" s="588"/>
      <c r="AF120" s="588"/>
      <c r="AG120" s="472">
        <f t="shared" si="14"/>
        <v>0</v>
      </c>
      <c r="AH120" s="567"/>
      <c r="AI120" s="567"/>
      <c r="AJ120" s="568"/>
      <c r="AK120" s="473" t="e">
        <f>VLOOKUP(G120,Paramétrage!$L$6:$M$12,2,0)</f>
        <v>#N/A</v>
      </c>
      <c r="AL120" s="177">
        <f t="shared" si="12"/>
        <v>0</v>
      </c>
      <c r="AM120" s="473">
        <f t="shared" si="11"/>
        <v>0</v>
      </c>
    </row>
    <row r="121" spans="1:39" x14ac:dyDescent="0.25">
      <c r="A121" s="822"/>
      <c r="B121" s="744"/>
      <c r="C121" s="742"/>
      <c r="D121" s="745"/>
      <c r="E121" s="609"/>
      <c r="F121" s="596"/>
      <c r="G121" s="596"/>
      <c r="H121" s="598"/>
      <c r="I121" s="599"/>
      <c r="J121" s="581"/>
      <c r="K121" s="580"/>
      <c r="L121" s="603"/>
      <c r="M121" s="604"/>
      <c r="N121" s="608"/>
      <c r="O121" s="602"/>
      <c r="P121" s="715">
        <f>IF(OR(M121="",J121=Paramétrage!$D$9,J121=Paramétrage!$D$12,J121=Paramétrage!$D$15,J121=Paramétrage!$D$18,J121=Paramétrage!$D$22,J121=Paramétrage!$D$25,AND(J121&lt;&gt;Paramétrage!$D$9,N121="Mut+ext")),0,ROUNDUP(L121/M121,0))</f>
        <v>0</v>
      </c>
      <c r="Q121" s="728">
        <f>IF(OR(J121="",N121="Mut+ext"),0,IF(VLOOKUP(J121,Paramétrage!$D$6:$F$29,3,0)=0,0,IF(M121="","saisir capacité",K121*P121*VLOOKUP(J121,Paramétrage!$D$6:$F$29,2,0))))</f>
        <v>0</v>
      </c>
      <c r="R121" s="721"/>
      <c r="S121" s="467">
        <f t="shared" si="8"/>
        <v>0</v>
      </c>
      <c r="T121" s="471">
        <f>IF(J121="",0,IF(ISERROR(R121+Q121*VLOOKUP(J121,Paramétrage!$D$6:$F$29,3,0))=TRUE,S121,R121+Q121*VLOOKUP(J121,Paramétrage!$D$6:$F$29,3,0)))</f>
        <v>0</v>
      </c>
      <c r="U121" s="580"/>
      <c r="V121" s="467">
        <f t="shared" si="9"/>
        <v>0</v>
      </c>
      <c r="W121" s="471">
        <f>IF(J121="",0,IF(ISERROR(U121+Q121*VLOOKUP(J121,Paramétrage!$D$6:$F$29,3,0))=TRUE,V121,U121+Q121*VLOOKUP(J121,Paramétrage!$D$6:$F$29,3,0)))</f>
        <v>0</v>
      </c>
      <c r="X121" s="585"/>
      <c r="Y121" s="581"/>
      <c r="Z121" s="581"/>
      <c r="AA121" s="581"/>
      <c r="AB121" s="472">
        <f t="shared" si="13"/>
        <v>0</v>
      </c>
      <c r="AC121" s="588"/>
      <c r="AD121" s="588"/>
      <c r="AE121" s="588"/>
      <c r="AF121" s="588"/>
      <c r="AG121" s="472">
        <f t="shared" si="14"/>
        <v>0</v>
      </c>
      <c r="AH121" s="567"/>
      <c r="AI121" s="567"/>
      <c r="AJ121" s="568"/>
      <c r="AK121" s="473" t="e">
        <f>VLOOKUP(G121,Paramétrage!$L$6:$M$12,2,0)</f>
        <v>#N/A</v>
      </c>
      <c r="AL121" s="177">
        <f t="shared" si="12"/>
        <v>0</v>
      </c>
      <c r="AM121" s="473">
        <f t="shared" si="11"/>
        <v>0</v>
      </c>
    </row>
    <row r="122" spans="1:39" x14ac:dyDescent="0.25">
      <c r="A122" s="822"/>
      <c r="B122" s="744"/>
      <c r="C122" s="742"/>
      <c r="D122" s="745"/>
      <c r="E122" s="609"/>
      <c r="F122" s="596"/>
      <c r="G122" s="596"/>
      <c r="H122" s="598"/>
      <c r="I122" s="599"/>
      <c r="J122" s="581"/>
      <c r="K122" s="580"/>
      <c r="L122" s="603"/>
      <c r="M122" s="604"/>
      <c r="N122" s="608"/>
      <c r="O122" s="602"/>
      <c r="P122" s="715">
        <f>IF(OR(M122="",J122=Paramétrage!$D$9,J122=Paramétrage!$D$12,J122=Paramétrage!$D$15,J122=Paramétrage!$D$18,J122=Paramétrage!$D$22,J122=Paramétrage!$D$25,AND(J122&lt;&gt;Paramétrage!$D$9,N122="Mut+ext")),0,ROUNDUP(L122/M122,0))</f>
        <v>0</v>
      </c>
      <c r="Q122" s="728">
        <f>IF(OR(J122="",N122="Mut+ext"),0,IF(VLOOKUP(J122,Paramétrage!$D$6:$F$29,3,0)=0,0,IF(M122="","saisir capacité",K122*P122*VLOOKUP(J122,Paramétrage!$D$6:$F$29,2,0))))</f>
        <v>0</v>
      </c>
      <c r="R122" s="721"/>
      <c r="S122" s="467">
        <f t="shared" si="8"/>
        <v>0</v>
      </c>
      <c r="T122" s="471">
        <f>IF(J122="",0,IF(ISERROR(R122+Q122*VLOOKUP(J122,Paramétrage!$D$6:$F$29,3,0))=TRUE,S122,R122+Q122*VLOOKUP(J122,Paramétrage!$D$6:$F$29,3,0)))</f>
        <v>0</v>
      </c>
      <c r="U122" s="580"/>
      <c r="V122" s="467">
        <f t="shared" si="9"/>
        <v>0</v>
      </c>
      <c r="W122" s="471">
        <f>IF(J122="",0,IF(ISERROR(U122+Q122*VLOOKUP(J122,Paramétrage!$D$6:$F$29,3,0))=TRUE,V122,U122+Q122*VLOOKUP(J122,Paramétrage!$D$6:$F$29,3,0)))</f>
        <v>0</v>
      </c>
      <c r="X122" s="585"/>
      <c r="Y122" s="581"/>
      <c r="Z122" s="581"/>
      <c r="AA122" s="581"/>
      <c r="AB122" s="472">
        <f t="shared" si="13"/>
        <v>0</v>
      </c>
      <c r="AC122" s="588"/>
      <c r="AD122" s="588"/>
      <c r="AE122" s="588"/>
      <c r="AF122" s="588"/>
      <c r="AG122" s="472">
        <f t="shared" si="14"/>
        <v>0</v>
      </c>
      <c r="AH122" s="567"/>
      <c r="AI122" s="567"/>
      <c r="AJ122" s="568"/>
      <c r="AK122" s="473" t="e">
        <f>VLOOKUP(G122,Paramétrage!$L$6:$M$12,2,0)</f>
        <v>#N/A</v>
      </c>
      <c r="AL122" s="177">
        <f t="shared" si="12"/>
        <v>0</v>
      </c>
      <c r="AM122" s="473">
        <f t="shared" si="11"/>
        <v>0</v>
      </c>
    </row>
    <row r="123" spans="1:39" x14ac:dyDescent="0.25">
      <c r="A123" s="822"/>
      <c r="B123" s="744"/>
      <c r="C123" s="742"/>
      <c r="D123" s="745"/>
      <c r="E123" s="609"/>
      <c r="F123" s="596"/>
      <c r="G123" s="596"/>
      <c r="H123" s="598"/>
      <c r="I123" s="599"/>
      <c r="J123" s="581"/>
      <c r="K123" s="580"/>
      <c r="L123" s="603"/>
      <c r="M123" s="604"/>
      <c r="N123" s="608"/>
      <c r="O123" s="602"/>
      <c r="P123" s="715">
        <f>IF(OR(M123="",J123=Paramétrage!$D$9,J123=Paramétrage!$D$12,J123=Paramétrage!$D$15,J123=Paramétrage!$D$18,J123=Paramétrage!$D$22,J123=Paramétrage!$D$25,AND(J123&lt;&gt;Paramétrage!$D$9,N123="Mut+ext")),0,ROUNDUP(L123/M123,0))</f>
        <v>0</v>
      </c>
      <c r="Q123" s="728">
        <f>IF(OR(J123="",N123="Mut+ext"),0,IF(VLOOKUP(J123,Paramétrage!$D$6:$F$29,3,0)=0,0,IF(M123="","saisir capacité",K123*P123*VLOOKUP(J123,Paramétrage!$D$6:$F$29,2,0))))</f>
        <v>0</v>
      </c>
      <c r="R123" s="721"/>
      <c r="S123" s="467">
        <f t="shared" si="8"/>
        <v>0</v>
      </c>
      <c r="T123" s="471">
        <f>IF(J123="",0,IF(ISERROR(R123+Q123*VLOOKUP(J123,Paramétrage!$D$6:$F$29,3,0))=TRUE,S123,R123+Q123*VLOOKUP(J123,Paramétrage!$D$6:$F$29,3,0)))</f>
        <v>0</v>
      </c>
      <c r="U123" s="580"/>
      <c r="V123" s="467">
        <f t="shared" si="9"/>
        <v>0</v>
      </c>
      <c r="W123" s="471">
        <f>IF(J123="",0,IF(ISERROR(U123+Q123*VLOOKUP(J123,Paramétrage!$D$6:$F$29,3,0))=TRUE,V123,U123+Q123*VLOOKUP(J123,Paramétrage!$D$6:$F$29,3,0)))</f>
        <v>0</v>
      </c>
      <c r="X123" s="585"/>
      <c r="Y123" s="581"/>
      <c r="Z123" s="581"/>
      <c r="AA123" s="581"/>
      <c r="AB123" s="472">
        <f t="shared" si="13"/>
        <v>0</v>
      </c>
      <c r="AC123" s="588"/>
      <c r="AD123" s="588"/>
      <c r="AE123" s="588"/>
      <c r="AF123" s="588"/>
      <c r="AG123" s="472">
        <f t="shared" si="14"/>
        <v>0</v>
      </c>
      <c r="AH123" s="567"/>
      <c r="AI123" s="567"/>
      <c r="AJ123" s="568"/>
      <c r="AK123" s="473" t="e">
        <f>VLOOKUP(G123,Paramétrage!$L$6:$M$12,2,0)</f>
        <v>#N/A</v>
      </c>
      <c r="AL123" s="177">
        <f t="shared" si="12"/>
        <v>0</v>
      </c>
      <c r="AM123" s="473">
        <f t="shared" si="11"/>
        <v>0</v>
      </c>
    </row>
    <row r="124" spans="1:39" x14ac:dyDescent="0.25">
      <c r="A124" s="822"/>
      <c r="B124" s="744"/>
      <c r="C124" s="742"/>
      <c r="D124" s="745"/>
      <c r="E124" s="609"/>
      <c r="F124" s="596"/>
      <c r="G124" s="596"/>
      <c r="H124" s="598"/>
      <c r="I124" s="599"/>
      <c r="J124" s="581"/>
      <c r="K124" s="580"/>
      <c r="L124" s="603"/>
      <c r="M124" s="604"/>
      <c r="N124" s="608"/>
      <c r="O124" s="602"/>
      <c r="P124" s="715">
        <f>IF(OR(M124="",J124=Paramétrage!$D$9,J124=Paramétrage!$D$12,J124=Paramétrage!$D$15,J124=Paramétrage!$D$18,J124=Paramétrage!$D$22,J124=Paramétrage!$D$25,AND(J124&lt;&gt;Paramétrage!$D$9,N124="Mut+ext")),0,ROUNDUP(L124/M124,0))</f>
        <v>0</v>
      </c>
      <c r="Q124" s="728">
        <f>IF(OR(J124="",N124="Mut+ext"),0,IF(VLOOKUP(J124,Paramétrage!$D$6:$F$29,3,0)=0,0,IF(M124="","saisir capacité",K124*P124*VLOOKUP(J124,Paramétrage!$D$6:$F$29,2,0))))</f>
        <v>0</v>
      </c>
      <c r="R124" s="721"/>
      <c r="S124" s="467">
        <f t="shared" si="8"/>
        <v>0</v>
      </c>
      <c r="T124" s="471">
        <f>IF(J124="",0,IF(ISERROR(R124+Q124*VLOOKUP(J124,Paramétrage!$D$6:$F$29,3,0))=TRUE,S124,R124+Q124*VLOOKUP(J124,Paramétrage!$D$6:$F$29,3,0)))</f>
        <v>0</v>
      </c>
      <c r="U124" s="580"/>
      <c r="V124" s="467">
        <f t="shared" si="9"/>
        <v>0</v>
      </c>
      <c r="W124" s="471">
        <f>IF(J124="",0,IF(ISERROR(U124+Q124*VLOOKUP(J124,Paramétrage!$D$6:$F$29,3,0))=TRUE,V124,U124+Q124*VLOOKUP(J124,Paramétrage!$D$6:$F$29,3,0)))</f>
        <v>0</v>
      </c>
      <c r="X124" s="585"/>
      <c r="Y124" s="581"/>
      <c r="Z124" s="581"/>
      <c r="AA124" s="581"/>
      <c r="AB124" s="472">
        <f t="shared" si="13"/>
        <v>0</v>
      </c>
      <c r="AC124" s="588"/>
      <c r="AD124" s="588"/>
      <c r="AE124" s="588"/>
      <c r="AF124" s="588"/>
      <c r="AG124" s="472">
        <f t="shared" si="14"/>
        <v>0</v>
      </c>
      <c r="AH124" s="567"/>
      <c r="AI124" s="567"/>
      <c r="AJ124" s="568"/>
      <c r="AK124" s="473" t="e">
        <f>VLOOKUP(G124,Paramétrage!$L$6:$M$12,2,0)</f>
        <v>#N/A</v>
      </c>
      <c r="AL124" s="177">
        <f t="shared" si="12"/>
        <v>0</v>
      </c>
      <c r="AM124" s="473">
        <f t="shared" si="11"/>
        <v>0</v>
      </c>
    </row>
    <row r="125" spans="1:39" x14ac:dyDescent="0.25">
      <c r="A125" s="822"/>
      <c r="B125" s="744"/>
      <c r="C125" s="742"/>
      <c r="D125" s="745"/>
      <c r="E125" s="609"/>
      <c r="F125" s="596"/>
      <c r="G125" s="596"/>
      <c r="H125" s="598"/>
      <c r="I125" s="599"/>
      <c r="J125" s="581"/>
      <c r="K125" s="580"/>
      <c r="L125" s="603"/>
      <c r="M125" s="604"/>
      <c r="N125" s="608"/>
      <c r="O125" s="602"/>
      <c r="P125" s="715">
        <f>IF(OR(M125="",J125=Paramétrage!$D$9,J125=Paramétrage!$D$12,J125=Paramétrage!$D$15,J125=Paramétrage!$D$18,J125=Paramétrage!$D$22,J125=Paramétrage!$D$25,AND(J125&lt;&gt;Paramétrage!$D$9,N125="Mut+ext")),0,ROUNDUP(L125/M125,0))</f>
        <v>0</v>
      </c>
      <c r="Q125" s="728">
        <f>IF(OR(J125="",N125="Mut+ext"),0,IF(VLOOKUP(J125,Paramétrage!$D$6:$F$29,3,0)=0,0,IF(M125="","saisir capacité",K125*P125*VLOOKUP(J125,Paramétrage!$D$6:$F$29,2,0))))</f>
        <v>0</v>
      </c>
      <c r="R125" s="721"/>
      <c r="S125" s="467">
        <f t="shared" si="8"/>
        <v>0</v>
      </c>
      <c r="T125" s="471">
        <f>IF(J125="",0,IF(ISERROR(R125+Q125*VLOOKUP(J125,Paramétrage!$D$6:$F$29,3,0))=TRUE,S125,R125+Q125*VLOOKUP(J125,Paramétrage!$D$6:$F$29,3,0)))</f>
        <v>0</v>
      </c>
      <c r="U125" s="580"/>
      <c r="V125" s="467">
        <f t="shared" si="9"/>
        <v>0</v>
      </c>
      <c r="W125" s="471">
        <f>IF(J125="",0,IF(ISERROR(U125+Q125*VLOOKUP(J125,Paramétrage!$D$6:$F$29,3,0))=TRUE,V125,U125+Q125*VLOOKUP(J125,Paramétrage!$D$6:$F$29,3,0)))</f>
        <v>0</v>
      </c>
      <c r="X125" s="585"/>
      <c r="Y125" s="581"/>
      <c r="Z125" s="581"/>
      <c r="AA125" s="581"/>
      <c r="AB125" s="472">
        <f t="shared" si="13"/>
        <v>0</v>
      </c>
      <c r="AC125" s="588"/>
      <c r="AD125" s="588"/>
      <c r="AE125" s="588"/>
      <c r="AF125" s="588"/>
      <c r="AG125" s="472">
        <f t="shared" si="14"/>
        <v>0</v>
      </c>
      <c r="AH125" s="567"/>
      <c r="AI125" s="567"/>
      <c r="AJ125" s="568"/>
      <c r="AK125" s="473" t="e">
        <f>VLOOKUP(G125,Paramétrage!$L$6:$M$12,2,0)</f>
        <v>#N/A</v>
      </c>
      <c r="AL125" s="177">
        <f t="shared" si="12"/>
        <v>0</v>
      </c>
      <c r="AM125" s="473">
        <f t="shared" si="11"/>
        <v>0</v>
      </c>
    </row>
    <row r="126" spans="1:39" x14ac:dyDescent="0.25">
      <c r="A126" s="822"/>
      <c r="B126" s="744"/>
      <c r="C126" s="742"/>
      <c r="D126" s="745"/>
      <c r="E126" s="609"/>
      <c r="F126" s="596"/>
      <c r="G126" s="596"/>
      <c r="H126" s="598"/>
      <c r="I126" s="599"/>
      <c r="J126" s="581"/>
      <c r="K126" s="580"/>
      <c r="L126" s="603"/>
      <c r="M126" s="604"/>
      <c r="N126" s="608"/>
      <c r="O126" s="602"/>
      <c r="P126" s="715">
        <f>IF(OR(M126="",J126=Paramétrage!$D$9,J126=Paramétrage!$D$12,J126=Paramétrage!$D$15,J126=Paramétrage!$D$18,J126=Paramétrage!$D$22,J126=Paramétrage!$D$25,AND(J126&lt;&gt;Paramétrage!$D$9,N126="Mut+ext")),0,ROUNDUP(L126/M126,0))</f>
        <v>0</v>
      </c>
      <c r="Q126" s="728">
        <f>IF(OR(J126="",N126="Mut+ext"),0,IF(VLOOKUP(J126,Paramétrage!$D$6:$F$29,3,0)=0,0,IF(M126="","saisir capacité",K126*P126*VLOOKUP(J126,Paramétrage!$D$6:$F$29,2,0))))</f>
        <v>0</v>
      </c>
      <c r="R126" s="721"/>
      <c r="S126" s="467">
        <f t="shared" si="8"/>
        <v>0</v>
      </c>
      <c r="T126" s="471">
        <f>IF(J126="",0,IF(ISERROR(R126+Q126*VLOOKUP(J126,Paramétrage!$D$6:$F$29,3,0))=TRUE,S126,R126+Q126*VLOOKUP(J126,Paramétrage!$D$6:$F$29,3,0)))</f>
        <v>0</v>
      </c>
      <c r="U126" s="580"/>
      <c r="V126" s="467">
        <f t="shared" si="9"/>
        <v>0</v>
      </c>
      <c r="W126" s="471">
        <f>IF(J126="",0,IF(ISERROR(U126+Q126*VLOOKUP(J126,Paramétrage!$D$6:$F$29,3,0))=TRUE,V126,U126+Q126*VLOOKUP(J126,Paramétrage!$D$6:$F$29,3,0)))</f>
        <v>0</v>
      </c>
      <c r="X126" s="585"/>
      <c r="Y126" s="581"/>
      <c r="Z126" s="581"/>
      <c r="AA126" s="581"/>
      <c r="AB126" s="472">
        <f t="shared" si="13"/>
        <v>0</v>
      </c>
      <c r="AC126" s="588"/>
      <c r="AD126" s="588"/>
      <c r="AE126" s="588"/>
      <c r="AF126" s="588"/>
      <c r="AG126" s="472">
        <f t="shared" si="14"/>
        <v>0</v>
      </c>
      <c r="AH126" s="567"/>
      <c r="AI126" s="567"/>
      <c r="AJ126" s="568"/>
      <c r="AK126" s="473" t="e">
        <f>VLOOKUP(G126,Paramétrage!$L$6:$M$12,2,0)</f>
        <v>#N/A</v>
      </c>
      <c r="AL126" s="177">
        <f t="shared" si="12"/>
        <v>0</v>
      </c>
      <c r="AM126" s="473">
        <f t="shared" si="11"/>
        <v>0</v>
      </c>
    </row>
    <row r="127" spans="1:39" x14ac:dyDescent="0.25">
      <c r="A127" s="822"/>
      <c r="B127" s="744"/>
      <c r="C127" s="742"/>
      <c r="D127" s="745"/>
      <c r="E127" s="609"/>
      <c r="F127" s="596"/>
      <c r="G127" s="596"/>
      <c r="H127" s="598"/>
      <c r="I127" s="599"/>
      <c r="J127" s="581"/>
      <c r="K127" s="580"/>
      <c r="L127" s="603"/>
      <c r="M127" s="604"/>
      <c r="N127" s="608"/>
      <c r="O127" s="602"/>
      <c r="P127" s="715">
        <f>IF(OR(M127="",J127=Paramétrage!$D$9,J127=Paramétrage!$D$12,J127=Paramétrage!$D$15,J127=Paramétrage!$D$18,J127=Paramétrage!$D$22,J127=Paramétrage!$D$25,AND(J127&lt;&gt;Paramétrage!$D$9,N127="Mut+ext")),0,ROUNDUP(L127/M127,0))</f>
        <v>0</v>
      </c>
      <c r="Q127" s="728">
        <f>IF(OR(J127="",N127="Mut+ext"),0,IF(VLOOKUP(J127,Paramétrage!$D$6:$F$29,3,0)=0,0,IF(M127="","saisir capacité",K127*P127*VLOOKUP(J127,Paramétrage!$D$6:$F$29,2,0))))</f>
        <v>0</v>
      </c>
      <c r="R127" s="721"/>
      <c r="S127" s="467">
        <f t="shared" si="8"/>
        <v>0</v>
      </c>
      <c r="T127" s="471">
        <f>IF(J127="",0,IF(ISERROR(R127+Q127*VLOOKUP(J127,Paramétrage!$D$6:$F$29,3,0))=TRUE,S127,R127+Q127*VLOOKUP(J127,Paramétrage!$D$6:$F$29,3,0)))</f>
        <v>0</v>
      </c>
      <c r="U127" s="580"/>
      <c r="V127" s="467">
        <f t="shared" si="9"/>
        <v>0</v>
      </c>
      <c r="W127" s="471">
        <f>IF(J127="",0,IF(ISERROR(U127+Q127*VLOOKUP(J127,Paramétrage!$D$6:$F$29,3,0))=TRUE,V127,U127+Q127*VLOOKUP(J127,Paramétrage!$D$6:$F$29,3,0)))</f>
        <v>0</v>
      </c>
      <c r="X127" s="585"/>
      <c r="Y127" s="581"/>
      <c r="Z127" s="581"/>
      <c r="AA127" s="581"/>
      <c r="AB127" s="472">
        <f t="shared" si="13"/>
        <v>0</v>
      </c>
      <c r="AC127" s="588"/>
      <c r="AD127" s="588"/>
      <c r="AE127" s="588"/>
      <c r="AF127" s="588"/>
      <c r="AG127" s="472">
        <f t="shared" si="14"/>
        <v>0</v>
      </c>
      <c r="AH127" s="567"/>
      <c r="AI127" s="567"/>
      <c r="AJ127" s="568"/>
      <c r="AK127" s="473" t="e">
        <f>VLOOKUP(G127,Paramétrage!$L$6:$M$12,2,0)</f>
        <v>#N/A</v>
      </c>
      <c r="AL127" s="177">
        <f t="shared" si="12"/>
        <v>0</v>
      </c>
      <c r="AM127" s="473">
        <f t="shared" si="11"/>
        <v>0</v>
      </c>
    </row>
    <row r="128" spans="1:39" x14ac:dyDescent="0.25">
      <c r="A128" s="822"/>
      <c r="B128" s="744"/>
      <c r="C128" s="742"/>
      <c r="D128" s="745"/>
      <c r="E128" s="609"/>
      <c r="F128" s="596"/>
      <c r="G128" s="596"/>
      <c r="H128" s="598"/>
      <c r="I128" s="599"/>
      <c r="J128" s="581"/>
      <c r="K128" s="580"/>
      <c r="L128" s="603"/>
      <c r="M128" s="604"/>
      <c r="N128" s="608"/>
      <c r="O128" s="602"/>
      <c r="P128" s="715">
        <f>IF(OR(M128="",J128=Paramétrage!$D$9,J128=Paramétrage!$D$12,J128=Paramétrage!$D$15,J128=Paramétrage!$D$18,J128=Paramétrage!$D$22,J128=Paramétrage!$D$25,AND(J128&lt;&gt;Paramétrage!$D$9,N128="Mut+ext")),0,ROUNDUP(L128/M128,0))</f>
        <v>0</v>
      </c>
      <c r="Q128" s="728">
        <f>IF(OR(J128="",N128="Mut+ext"),0,IF(VLOOKUP(J128,Paramétrage!$D$6:$F$29,3,0)=0,0,IF(M128="","saisir capacité",K128*P128*VLOOKUP(J128,Paramétrage!$D$6:$F$29,2,0))))</f>
        <v>0</v>
      </c>
      <c r="R128" s="721"/>
      <c r="S128" s="467">
        <f t="shared" si="8"/>
        <v>0</v>
      </c>
      <c r="T128" s="471">
        <f>IF(J128="",0,IF(ISERROR(R128+Q128*VLOOKUP(J128,Paramétrage!$D$6:$F$29,3,0))=TRUE,S128,R128+Q128*VLOOKUP(J128,Paramétrage!$D$6:$F$29,3,0)))</f>
        <v>0</v>
      </c>
      <c r="U128" s="580"/>
      <c r="V128" s="467">
        <f t="shared" si="9"/>
        <v>0</v>
      </c>
      <c r="W128" s="471">
        <f>IF(J128="",0,IF(ISERROR(U128+Q128*VLOOKUP(J128,Paramétrage!$D$6:$F$29,3,0))=TRUE,V128,U128+Q128*VLOOKUP(J128,Paramétrage!$D$6:$F$29,3,0)))</f>
        <v>0</v>
      </c>
      <c r="X128" s="585"/>
      <c r="Y128" s="581"/>
      <c r="Z128" s="581"/>
      <c r="AA128" s="581"/>
      <c r="AB128" s="472">
        <f t="shared" si="13"/>
        <v>0</v>
      </c>
      <c r="AC128" s="588"/>
      <c r="AD128" s="588"/>
      <c r="AE128" s="588"/>
      <c r="AF128" s="588"/>
      <c r="AG128" s="472">
        <f t="shared" si="14"/>
        <v>0</v>
      </c>
      <c r="AH128" s="567"/>
      <c r="AI128" s="567"/>
      <c r="AJ128" s="568"/>
      <c r="AK128" s="473" t="e">
        <f>VLOOKUP(G128,Paramétrage!$L$6:$M$12,2,0)</f>
        <v>#N/A</v>
      </c>
      <c r="AL128" s="177">
        <f t="shared" si="12"/>
        <v>0</v>
      </c>
      <c r="AM128" s="473">
        <f t="shared" si="11"/>
        <v>0</v>
      </c>
    </row>
    <row r="129" spans="1:39" x14ac:dyDescent="0.25">
      <c r="A129" s="822"/>
      <c r="B129" s="744"/>
      <c r="C129" s="742"/>
      <c r="D129" s="745"/>
      <c r="E129" s="609"/>
      <c r="F129" s="596"/>
      <c r="G129" s="596"/>
      <c r="H129" s="598"/>
      <c r="I129" s="599"/>
      <c r="J129" s="581"/>
      <c r="K129" s="580"/>
      <c r="L129" s="603"/>
      <c r="M129" s="604"/>
      <c r="N129" s="608"/>
      <c r="O129" s="602"/>
      <c r="P129" s="715">
        <f>IF(OR(M129="",J129=Paramétrage!$D$9,J129=Paramétrage!$D$12,J129=Paramétrage!$D$15,J129=Paramétrage!$D$18,J129=Paramétrage!$D$22,J129=Paramétrage!$D$25,AND(J129&lt;&gt;Paramétrage!$D$9,N129="Mut+ext")),0,ROUNDUP(L129/M129,0))</f>
        <v>0</v>
      </c>
      <c r="Q129" s="728">
        <f>IF(OR(J129="",N129="Mut+ext"),0,IF(VLOOKUP(J129,Paramétrage!$D$6:$F$29,3,0)=0,0,IF(M129="","saisir capacité",K129*P129*VLOOKUP(J129,Paramétrage!$D$6:$F$29,2,0))))</f>
        <v>0</v>
      </c>
      <c r="R129" s="721"/>
      <c r="S129" s="467">
        <f t="shared" si="8"/>
        <v>0</v>
      </c>
      <c r="T129" s="471">
        <f>IF(J129="",0,IF(ISERROR(R129+Q129*VLOOKUP(J129,Paramétrage!$D$6:$F$29,3,0))=TRUE,S129,R129+Q129*VLOOKUP(J129,Paramétrage!$D$6:$F$29,3,0)))</f>
        <v>0</v>
      </c>
      <c r="U129" s="580"/>
      <c r="V129" s="467">
        <f t="shared" si="9"/>
        <v>0</v>
      </c>
      <c r="W129" s="471">
        <f>IF(J129="",0,IF(ISERROR(U129+Q129*VLOOKUP(J129,Paramétrage!$D$6:$F$29,3,0))=TRUE,V129,U129+Q129*VLOOKUP(J129,Paramétrage!$D$6:$F$29,3,0)))</f>
        <v>0</v>
      </c>
      <c r="X129" s="585"/>
      <c r="Y129" s="581"/>
      <c r="Z129" s="581"/>
      <c r="AA129" s="581"/>
      <c r="AB129" s="472">
        <f t="shared" si="13"/>
        <v>0</v>
      </c>
      <c r="AC129" s="588"/>
      <c r="AD129" s="588"/>
      <c r="AE129" s="588"/>
      <c r="AF129" s="588"/>
      <c r="AG129" s="472">
        <f t="shared" si="14"/>
        <v>0</v>
      </c>
      <c r="AH129" s="567"/>
      <c r="AI129" s="567"/>
      <c r="AJ129" s="568"/>
      <c r="AK129" s="473" t="e">
        <f>VLOOKUP(G129,Paramétrage!$L$6:$M$12,2,0)</f>
        <v>#N/A</v>
      </c>
      <c r="AL129" s="177">
        <f t="shared" si="12"/>
        <v>0</v>
      </c>
      <c r="AM129" s="473">
        <f t="shared" si="11"/>
        <v>0</v>
      </c>
    </row>
    <row r="130" spans="1:39" x14ac:dyDescent="0.25">
      <c r="A130" s="822"/>
      <c r="B130" s="744"/>
      <c r="C130" s="742"/>
      <c r="D130" s="745"/>
      <c r="E130" s="609"/>
      <c r="F130" s="596"/>
      <c r="G130" s="596"/>
      <c r="H130" s="598"/>
      <c r="I130" s="599"/>
      <c r="J130" s="581"/>
      <c r="K130" s="580"/>
      <c r="L130" s="603"/>
      <c r="M130" s="604"/>
      <c r="N130" s="608"/>
      <c r="O130" s="602"/>
      <c r="P130" s="715">
        <f>IF(OR(M130="",J130=Paramétrage!$D$9,J130=Paramétrage!$D$12,J130=Paramétrage!$D$15,J130=Paramétrage!$D$18,J130=Paramétrage!$D$22,J130=Paramétrage!$D$25,AND(J130&lt;&gt;Paramétrage!$D$9,N130="Mut+ext")),0,ROUNDUP(L130/M130,0))</f>
        <v>0</v>
      </c>
      <c r="Q130" s="728">
        <f>IF(OR(J130="",N130="Mut+ext"),0,IF(VLOOKUP(J130,Paramétrage!$D$6:$F$29,3,0)=0,0,IF(M130="","saisir capacité",K130*P130*VLOOKUP(J130,Paramétrage!$D$6:$F$29,2,0))))</f>
        <v>0</v>
      </c>
      <c r="R130" s="721"/>
      <c r="S130" s="467">
        <f t="shared" si="8"/>
        <v>0</v>
      </c>
      <c r="T130" s="471">
        <f>IF(J130="",0,IF(ISERROR(R130+Q130*VLOOKUP(J130,Paramétrage!$D$6:$F$29,3,0))=TRUE,S130,R130+Q130*VLOOKUP(J130,Paramétrage!$D$6:$F$29,3,0)))</f>
        <v>0</v>
      </c>
      <c r="U130" s="580"/>
      <c r="V130" s="467">
        <f t="shared" si="9"/>
        <v>0</v>
      </c>
      <c r="W130" s="471">
        <f>IF(J130="",0,IF(ISERROR(U130+Q130*VLOOKUP(J130,Paramétrage!$D$6:$F$29,3,0))=TRUE,V130,U130+Q130*VLOOKUP(J130,Paramétrage!$D$6:$F$29,3,0)))</f>
        <v>0</v>
      </c>
      <c r="X130" s="585"/>
      <c r="Y130" s="581"/>
      <c r="Z130" s="581"/>
      <c r="AA130" s="581"/>
      <c r="AB130" s="472">
        <f t="shared" si="13"/>
        <v>0</v>
      </c>
      <c r="AC130" s="588"/>
      <c r="AD130" s="588"/>
      <c r="AE130" s="588"/>
      <c r="AF130" s="588"/>
      <c r="AG130" s="472">
        <f t="shared" si="14"/>
        <v>0</v>
      </c>
      <c r="AH130" s="567"/>
      <c r="AI130" s="567"/>
      <c r="AJ130" s="568"/>
      <c r="AK130" s="473" t="e">
        <f>VLOOKUP(G130,Paramétrage!$L$6:$M$12,2,0)</f>
        <v>#N/A</v>
      </c>
      <c r="AL130" s="177">
        <f t="shared" si="12"/>
        <v>0</v>
      </c>
      <c r="AM130" s="473">
        <f t="shared" si="11"/>
        <v>0</v>
      </c>
    </row>
    <row r="131" spans="1:39" x14ac:dyDescent="0.25">
      <c r="A131" s="822"/>
      <c r="B131" s="744"/>
      <c r="C131" s="742"/>
      <c r="D131" s="745"/>
      <c r="E131" s="609"/>
      <c r="F131" s="596"/>
      <c r="G131" s="596"/>
      <c r="H131" s="598"/>
      <c r="I131" s="599"/>
      <c r="J131" s="581"/>
      <c r="K131" s="600"/>
      <c r="L131" s="603"/>
      <c r="M131" s="604"/>
      <c r="N131" s="605"/>
      <c r="O131" s="602"/>
      <c r="P131" s="715">
        <f>IF(OR(M131="",J131=Paramétrage!$D$9,J131=Paramétrage!$D$12,J131=Paramétrage!$D$15,J131=Paramétrage!$D$18,J131=Paramétrage!$D$22,J131=Paramétrage!$D$25,AND(J131&lt;&gt;Paramétrage!$D$9,N131="Mut+ext")),0,ROUNDUP(L131/M131,0))</f>
        <v>0</v>
      </c>
      <c r="Q131" s="728">
        <f>IF(OR(J131="",N131="Mut+ext"),0,IF(VLOOKUP(J131,Paramétrage!$D$6:$F$29,3,0)=0,0,IF(M131="","saisir capacité",K131*P131*VLOOKUP(J131,Paramétrage!$D$6:$F$29,2,0))))</f>
        <v>0</v>
      </c>
      <c r="R131" s="721"/>
      <c r="S131" s="467">
        <f t="shared" si="8"/>
        <v>0</v>
      </c>
      <c r="T131" s="471">
        <f>IF(J131="",0,IF(ISERROR(R131+Q131*VLOOKUP(J131,Paramétrage!$D$6:$F$29,3,0))=TRUE,S131,R131+Q131*VLOOKUP(J131,Paramétrage!$D$6:$F$29,3,0)))</f>
        <v>0</v>
      </c>
      <c r="U131" s="580"/>
      <c r="V131" s="467">
        <f t="shared" si="9"/>
        <v>0</v>
      </c>
      <c r="W131" s="471">
        <f>IF(J131="",0,IF(ISERROR(U131+Q131*VLOOKUP(J131,Paramétrage!$D$6:$F$29,3,0))=TRUE,V131,U131+Q131*VLOOKUP(J131,Paramétrage!$D$6:$F$29,3,0)))</f>
        <v>0</v>
      </c>
      <c r="X131" s="592"/>
      <c r="Y131" s="581"/>
      <c r="Z131" s="581"/>
      <c r="AA131" s="581"/>
      <c r="AB131" s="472">
        <f t="shared" si="13"/>
        <v>0</v>
      </c>
      <c r="AC131" s="588"/>
      <c r="AD131" s="588"/>
      <c r="AE131" s="588"/>
      <c r="AF131" s="588"/>
      <c r="AG131" s="472">
        <f>SUM(AC131:AF131)</f>
        <v>0</v>
      </c>
      <c r="AH131" s="815"/>
      <c r="AI131" s="815"/>
      <c r="AJ131" s="816"/>
      <c r="AK131" s="473" t="e">
        <f>VLOOKUP(G131,Paramétrage!$L$6:$M$12,2,0)</f>
        <v>#N/A</v>
      </c>
      <c r="AL131" s="177">
        <f t="shared" si="12"/>
        <v>0</v>
      </c>
      <c r="AM131" s="473">
        <f t="shared" si="11"/>
        <v>0</v>
      </c>
    </row>
    <row r="132" spans="1:39" ht="16" thickBot="1" x14ac:dyDescent="0.3">
      <c r="A132" s="823"/>
      <c r="B132" s="479"/>
      <c r="C132" s="480"/>
      <c r="D132" s="481"/>
      <c r="E132" s="482"/>
      <c r="F132" s="484"/>
      <c r="G132" s="483"/>
      <c r="H132" s="484"/>
      <c r="I132" s="7"/>
      <c r="J132" s="486"/>
      <c r="K132" s="487">
        <f>AL132</f>
        <v>0</v>
      </c>
      <c r="L132" s="488"/>
      <c r="M132" s="489"/>
      <c r="N132" s="9"/>
      <c r="O132" s="10"/>
      <c r="P132" s="716"/>
      <c r="Q132" s="729">
        <f t="shared" ref="Q132:AG132" si="15">SUM(Q71:Q131)</f>
        <v>0</v>
      </c>
      <c r="R132" s="723">
        <f t="shared" si="15"/>
        <v>0</v>
      </c>
      <c r="S132" s="492">
        <f t="shared" si="15"/>
        <v>0</v>
      </c>
      <c r="T132" s="492">
        <f t="shared" si="15"/>
        <v>0</v>
      </c>
      <c r="U132" s="498">
        <f t="shared" si="15"/>
        <v>0</v>
      </c>
      <c r="V132" s="492">
        <f t="shared" si="15"/>
        <v>0</v>
      </c>
      <c r="W132" s="492">
        <f t="shared" si="15"/>
        <v>0</v>
      </c>
      <c r="X132" s="490">
        <f t="shared" si="15"/>
        <v>0</v>
      </c>
      <c r="Y132" s="491">
        <f t="shared" si="15"/>
        <v>0</v>
      </c>
      <c r="Z132" s="491">
        <f t="shared" si="15"/>
        <v>0</v>
      </c>
      <c r="AA132" s="491">
        <f>SUM(AA71:AA131)</f>
        <v>0</v>
      </c>
      <c r="AB132" s="494">
        <f t="shared" si="15"/>
        <v>0</v>
      </c>
      <c r="AC132" s="490">
        <f t="shared" si="15"/>
        <v>0</v>
      </c>
      <c r="AD132" s="491">
        <f t="shared" si="15"/>
        <v>0</v>
      </c>
      <c r="AE132" s="491">
        <f t="shared" si="15"/>
        <v>0</v>
      </c>
      <c r="AF132" s="491">
        <f t="shared" si="15"/>
        <v>0</v>
      </c>
      <c r="AG132" s="494">
        <f t="shared" si="15"/>
        <v>0</v>
      </c>
      <c r="AH132" s="499"/>
      <c r="AI132" s="496"/>
      <c r="AJ132" s="500"/>
      <c r="AK132" s="8"/>
      <c r="AL132" s="11">
        <f>SUM(AL71:AL131)</f>
        <v>0</v>
      </c>
      <c r="AM132" s="8">
        <f>SUM(AM71:AM131)</f>
        <v>0</v>
      </c>
    </row>
    <row r="133" spans="1:39" ht="16" thickBot="1" x14ac:dyDescent="0.3">
      <c r="A133" s="501"/>
      <c r="B133" s="502"/>
      <c r="C133" s="502"/>
      <c r="D133" s="502"/>
      <c r="E133" s="503"/>
      <c r="F133" s="503"/>
      <c r="G133" s="503"/>
      <c r="H133" s="503"/>
      <c r="I133" s="503"/>
      <c r="J133" s="504"/>
      <c r="K133" s="505">
        <f>ROUND(K70+K132,1)</f>
        <v>120</v>
      </c>
      <c r="L133" s="506"/>
      <c r="M133" s="507"/>
      <c r="N133" s="506"/>
      <c r="O133" s="506"/>
      <c r="P133" s="717"/>
      <c r="Q133" s="730">
        <f t="shared" ref="Q133:AG133" si="16">Q70+Q132</f>
        <v>124</v>
      </c>
      <c r="R133" s="726">
        <f t="shared" si="16"/>
        <v>0</v>
      </c>
      <c r="S133" s="508">
        <f t="shared" si="16"/>
        <v>124</v>
      </c>
      <c r="T133" s="508">
        <f t="shared" si="16"/>
        <v>124</v>
      </c>
      <c r="U133" s="508">
        <f t="shared" si="16"/>
        <v>0</v>
      </c>
      <c r="V133" s="508">
        <f t="shared" si="16"/>
        <v>124</v>
      </c>
      <c r="W133" s="508">
        <f t="shared" si="16"/>
        <v>124</v>
      </c>
      <c r="X133" s="508">
        <f t="shared" si="16"/>
        <v>18</v>
      </c>
      <c r="Y133" s="508">
        <f t="shared" si="16"/>
        <v>26</v>
      </c>
      <c r="Z133" s="508">
        <f t="shared" si="16"/>
        <v>34</v>
      </c>
      <c r="AA133" s="508">
        <f t="shared" si="16"/>
        <v>46</v>
      </c>
      <c r="AB133" s="508">
        <f t="shared" si="16"/>
        <v>124</v>
      </c>
      <c r="AC133" s="508">
        <f t="shared" si="16"/>
        <v>0</v>
      </c>
      <c r="AD133" s="508">
        <f t="shared" si="16"/>
        <v>0</v>
      </c>
      <c r="AE133" s="508">
        <f t="shared" si="16"/>
        <v>0</v>
      </c>
      <c r="AF133" s="508">
        <f t="shared" si="16"/>
        <v>0</v>
      </c>
      <c r="AG133" s="508">
        <f t="shared" si="16"/>
        <v>0</v>
      </c>
    </row>
    <row r="134" spans="1:39" ht="18" customHeight="1" x14ac:dyDescent="0.25"/>
  </sheetData>
  <sheetProtection algorithmName="SHA-512" hashValue="h8vO+bSEqUCHwpuRlCxCZn4JI87sIU6LpUhQULwrM2mxGghaBKTlped+57FsE7xmc2UlA8vp/iqsQQW8r1+5jw==" saltValue="DIYV3O4AWZK6xjXbkWf92A==" spinCount="100000" sheet="1" autoFilter="0"/>
  <mergeCells count="90">
    <mergeCell ref="X6:AB6"/>
    <mergeCell ref="AC6:AG6"/>
    <mergeCell ref="B7:B8"/>
    <mergeCell ref="C7:C8"/>
    <mergeCell ref="D7:D8"/>
    <mergeCell ref="E7:E8"/>
    <mergeCell ref="N7:N8"/>
    <mergeCell ref="F7:F8"/>
    <mergeCell ref="H7:H8"/>
    <mergeCell ref="I7:I8"/>
    <mergeCell ref="J7:J8"/>
    <mergeCell ref="L7:L8"/>
    <mergeCell ref="M7:M8"/>
    <mergeCell ref="G7:G8"/>
    <mergeCell ref="K7:K8"/>
    <mergeCell ref="O7:O8"/>
    <mergeCell ref="AH28:AJ28"/>
    <mergeCell ref="AH29:AJ29"/>
    <mergeCell ref="AM7:AM8"/>
    <mergeCell ref="AH12:AJ12"/>
    <mergeCell ref="AL7:AL8"/>
    <mergeCell ref="AK7:AK8"/>
    <mergeCell ref="AH7:AJ8"/>
    <mergeCell ref="AH9:AJ9"/>
    <mergeCell ref="AH10:AJ10"/>
    <mergeCell ref="AH11:AJ11"/>
    <mergeCell ref="A9:A70"/>
    <mergeCell ref="A71:A132"/>
    <mergeCell ref="AH37:AJ37"/>
    <mergeCell ref="AH38:AJ38"/>
    <mergeCell ref="AH20:AJ20"/>
    <mergeCell ref="AH15:AJ15"/>
    <mergeCell ref="AH16:AJ16"/>
    <mergeCell ref="AH17:AJ17"/>
    <mergeCell ref="AH73:AJ73"/>
    <mergeCell ref="AH131:AJ131"/>
    <mergeCell ref="AH69:AJ69"/>
    <mergeCell ref="AH71:AJ71"/>
    <mergeCell ref="AH72:AJ72"/>
    <mergeCell ref="AH96:AJ96"/>
    <mergeCell ref="AH33:AJ33"/>
    <mergeCell ref="AH34:AJ34"/>
    <mergeCell ref="P7:P8"/>
    <mergeCell ref="AH102:AJ102"/>
    <mergeCell ref="AH74:AJ74"/>
    <mergeCell ref="AH75:AJ75"/>
    <mergeCell ref="AH76:AJ76"/>
    <mergeCell ref="AH36:AJ36"/>
    <mergeCell ref="AH14:AJ14"/>
    <mergeCell ref="AH18:AJ18"/>
    <mergeCell ref="AH22:AJ22"/>
    <mergeCell ref="AH23:AJ23"/>
    <mergeCell ref="AH24:AJ24"/>
    <mergeCell ref="AH25:AJ25"/>
    <mergeCell ref="AH26:AJ26"/>
    <mergeCell ref="AH97:AJ97"/>
    <mergeCell ref="AH98:AJ98"/>
    <mergeCell ref="AH92:AJ92"/>
    <mergeCell ref="AH103:AJ103"/>
    <mergeCell ref="AH77:AJ77"/>
    <mergeCell ref="AH80:AJ80"/>
    <mergeCell ref="AH81:AJ81"/>
    <mergeCell ref="AH82:AJ82"/>
    <mergeCell ref="AH94:AJ94"/>
    <mergeCell ref="AH95:AJ95"/>
    <mergeCell ref="AH78:AJ78"/>
    <mergeCell ref="AH79:AJ79"/>
    <mergeCell ref="AH99:AJ99"/>
    <mergeCell ref="AH100:AJ100"/>
    <mergeCell ref="AH101:AJ101"/>
    <mergeCell ref="AH83:AJ83"/>
    <mergeCell ref="AH84:AJ84"/>
    <mergeCell ref="AH85:AJ85"/>
    <mergeCell ref="AH86:AJ86"/>
    <mergeCell ref="R6:T6"/>
    <mergeCell ref="U6:W6"/>
    <mergeCell ref="AH93:AJ93"/>
    <mergeCell ref="AH87:AJ87"/>
    <mergeCell ref="AH88:AJ88"/>
    <mergeCell ref="AH89:AJ89"/>
    <mergeCell ref="AH90:AJ90"/>
    <mergeCell ref="AH91:AJ91"/>
    <mergeCell ref="AH13:AJ13"/>
    <mergeCell ref="AH19:AJ19"/>
    <mergeCell ref="AH35:AJ35"/>
    <mergeCell ref="AH21:AJ21"/>
    <mergeCell ref="AH30:AJ30"/>
    <mergeCell ref="AH31:AJ31"/>
    <mergeCell ref="AH32:AJ32"/>
    <mergeCell ref="AH27:AJ27"/>
  </mergeCells>
  <phoneticPr fontId="70" type="noConversion"/>
  <conditionalFormatting sqref="N9:N131">
    <cfRule type="cellIs" dxfId="24" priority="3" operator="equal">
      <formula>"Mut+ext"</formula>
    </cfRule>
  </conditionalFormatting>
  <conditionalFormatting sqref="AB9:AB69 AB71:AB131">
    <cfRule type="cellIs" dxfId="23" priority="38" operator="notEqual">
      <formula>S9</formula>
    </cfRule>
  </conditionalFormatting>
  <conditionalFormatting sqref="AG9:AG69 AG71:AG131">
    <cfRule type="cellIs" dxfId="22" priority="39" operator="notEqual">
      <formula>V9</formula>
    </cfRule>
  </conditionalFormatting>
  <dataValidations count="3">
    <dataValidation type="list" allowBlank="1" showInputMessage="1" showErrorMessage="1" sqref="N71:N131 N9:N69" xr:uid="{00000000-0002-0000-0000-000003000000}">
      <formula1>"Non,Mut,Mut+ext"</formula1>
    </dataValidation>
    <dataValidation type="list" allowBlank="1" showInputMessage="1" showErrorMessage="1" sqref="I9:I131" xr:uid="{00000000-0002-0000-0000-000001000000}">
      <formula1>"1,2,3,4"</formula1>
    </dataValidation>
    <dataValidation type="list" allowBlank="1" showInputMessage="1" showErrorMessage="1" sqref="H9:H131" xr:uid="{00000000-0002-0000-0000-000002000000}">
      <formula1>"Obligatoire,Option"</formula1>
    </dataValidation>
  </dataValidations>
  <pageMargins left="0.7" right="0.7" top="0.75" bottom="0.75" header="0.3" footer="0.3"/>
  <pageSetup paperSize="9" orientation="portrait"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000-000005000000}">
          <x14:formula1>
            <xm:f>Paramétrage!$L$6:$L$12</xm:f>
          </x14:formula1>
          <xm:sqref>G9:G69 G71:G131</xm:sqref>
        </x14:dataValidation>
        <x14:dataValidation type="list" allowBlank="1" showInputMessage="1" showErrorMessage="1" xr:uid="{00000000-0002-0000-0000-000004000000}">
          <x14:formula1>
            <xm:f>Paramétrage!$D$6:$D$27</xm:f>
          </x14:formula1>
          <xm:sqref>J9:J69 J71:J131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AM268"/>
  <sheetViews>
    <sheetView topLeftCell="Q83" zoomScale="90" zoomScaleNormal="90" workbookViewId="0">
      <selection activeCell="Y95" sqref="Y95"/>
    </sheetView>
  </sheetViews>
  <sheetFormatPr baseColWidth="10" defaultColWidth="11.453125" defaultRowHeight="12.5" x14ac:dyDescent="0.25"/>
  <cols>
    <col min="1" max="1" width="2.7265625" style="1" customWidth="1"/>
    <col min="2" max="2" width="13" style="1" customWidth="1"/>
    <col min="3" max="3" width="34.7265625" style="1" bestFit="1" customWidth="1"/>
    <col min="4" max="4" width="9.26953125" style="1" bestFit="1" customWidth="1"/>
    <col min="5" max="5" width="15" style="1" customWidth="1"/>
    <col min="6" max="6" width="6.7265625" style="1" customWidth="1"/>
    <col min="7" max="7" width="19.81640625" style="1" customWidth="1"/>
    <col min="8" max="8" width="11.453125" style="1"/>
    <col min="9" max="9" width="11.54296875" style="1" customWidth="1"/>
    <col min="10" max="10" width="59.26953125" style="1" customWidth="1"/>
    <col min="11" max="11" width="7.54296875" style="1" customWidth="1"/>
    <col min="12" max="12" width="16.7265625" style="1" customWidth="1"/>
    <col min="13" max="13" width="11.453125" style="1" customWidth="1"/>
    <col min="14" max="14" width="7.1796875" style="1" customWidth="1"/>
    <col min="15" max="15" width="29.26953125" style="1" customWidth="1"/>
    <col min="16" max="16" width="11.453125" style="1" customWidth="1"/>
    <col min="17" max="17" width="7" style="1" customWidth="1"/>
    <col min="18" max="18" width="31.81640625" style="1" customWidth="1"/>
    <col min="19" max="19" width="11.453125" style="1" customWidth="1"/>
    <col min="20" max="20" width="5.26953125" style="1" customWidth="1"/>
    <col min="21" max="21" width="4.7265625" style="1" customWidth="1"/>
    <col min="22" max="22" width="63.26953125" style="667" customWidth="1"/>
    <col min="23" max="23" width="14.453125" style="1" customWidth="1"/>
    <col min="24" max="24" width="16.453125" style="1" customWidth="1"/>
    <col min="25" max="25" width="12.26953125" style="1" customWidth="1"/>
    <col min="26" max="26" width="15.1796875" style="1" customWidth="1"/>
    <col min="27" max="28" width="11.453125" style="1" customWidth="1"/>
    <col min="29" max="29" width="12.7265625" style="1" customWidth="1"/>
    <col min="30" max="30" width="2.54296875" style="1" customWidth="1"/>
    <col min="31" max="31" width="3.453125" style="1" customWidth="1"/>
    <col min="32" max="32" width="14.453125" style="1" hidden="1" customWidth="1"/>
    <col min="33" max="39" width="22.7265625" style="692" hidden="1" customWidth="1"/>
    <col min="40" max="16384" width="11.453125" style="1"/>
  </cols>
  <sheetData>
    <row r="1" spans="1:39" x14ac:dyDescent="0.25">
      <c r="A1" s="181" t="s">
        <v>213</v>
      </c>
    </row>
    <row r="2" spans="1:39" ht="13" x14ac:dyDescent="0.25">
      <c r="R2" s="857" t="s">
        <v>214</v>
      </c>
      <c r="S2" s="857"/>
      <c r="T2" s="756"/>
    </row>
    <row r="3" spans="1:39" x14ac:dyDescent="0.25">
      <c r="B3" s="860" t="s">
        <v>215</v>
      </c>
      <c r="C3" s="861"/>
      <c r="D3" s="862"/>
      <c r="I3" s="867" t="s">
        <v>216</v>
      </c>
      <c r="J3" s="868"/>
      <c r="X3" s="753"/>
      <c r="Y3" s="415"/>
      <c r="Z3" s="415"/>
      <c r="AB3" s="670" t="s">
        <v>217</v>
      </c>
    </row>
    <row r="4" spans="1:39" ht="13" x14ac:dyDescent="0.25">
      <c r="C4" s="5"/>
      <c r="D4" s="5"/>
      <c r="E4" s="5"/>
      <c r="F4" s="5"/>
      <c r="G4" s="5"/>
      <c r="L4" s="863" t="s">
        <v>160</v>
      </c>
      <c r="M4" s="864"/>
      <c r="O4" s="639" t="s">
        <v>218</v>
      </c>
      <c r="P4" s="3" t="s">
        <v>219</v>
      </c>
      <c r="S4" s="754" t="s">
        <v>220</v>
      </c>
      <c r="V4" s="644" t="s">
        <v>221</v>
      </c>
      <c r="W4" s="6" t="s">
        <v>222</v>
      </c>
      <c r="X4" s="6" t="s">
        <v>223</v>
      </c>
      <c r="Y4" s="765" t="s">
        <v>224</v>
      </c>
      <c r="Z4" s="6" t="s">
        <v>225</v>
      </c>
      <c r="AA4" s="6" t="s">
        <v>226</v>
      </c>
      <c r="AB4" s="671" t="s">
        <v>227</v>
      </c>
      <c r="AC4" s="106" t="s">
        <v>228</v>
      </c>
    </row>
    <row r="5" spans="1:39" ht="14.5" x14ac:dyDescent="0.25">
      <c r="E5" s="3" t="s">
        <v>229</v>
      </c>
      <c r="F5" s="659" t="s">
        <v>230</v>
      </c>
      <c r="G5" s="659" t="s">
        <v>231</v>
      </c>
      <c r="O5" s="3" t="s">
        <v>232</v>
      </c>
      <c r="P5" s="155">
        <v>0.12</v>
      </c>
      <c r="S5" s="755" t="s">
        <v>233</v>
      </c>
      <c r="V5" s="668" t="s">
        <v>234</v>
      </c>
      <c r="W5" s="3"/>
      <c r="X5" s="3"/>
      <c r="Y5" s="3"/>
      <c r="Z5" s="3"/>
      <c r="AA5" s="3"/>
      <c r="AB5" s="3"/>
      <c r="AC5" s="577"/>
    </row>
    <row r="6" spans="1:39" ht="15" customHeight="1" x14ac:dyDescent="0.25">
      <c r="B6" s="858" t="s">
        <v>235</v>
      </c>
      <c r="C6" s="3" t="s">
        <v>236</v>
      </c>
      <c r="D6" s="2" t="s">
        <v>237</v>
      </c>
      <c r="E6" s="2">
        <v>1</v>
      </c>
      <c r="F6" s="2">
        <v>1.5</v>
      </c>
      <c r="G6" s="2">
        <v>1.5</v>
      </c>
      <c r="I6" s="4" t="s">
        <v>238</v>
      </c>
      <c r="J6" s="4" t="s">
        <v>239</v>
      </c>
      <c r="L6" s="3" t="s">
        <v>240</v>
      </c>
      <c r="M6" s="3">
        <v>1</v>
      </c>
      <c r="O6" s="3" t="s">
        <v>241</v>
      </c>
      <c r="P6" s="155">
        <v>0.04</v>
      </c>
      <c r="R6" s="154" t="s">
        <v>242</v>
      </c>
      <c r="S6" s="182">
        <v>85000.09</v>
      </c>
      <c r="T6" s="757"/>
      <c r="U6" s="751"/>
      <c r="V6" s="173" t="s">
        <v>243</v>
      </c>
      <c r="W6" s="174">
        <v>0</v>
      </c>
      <c r="X6" s="170"/>
      <c r="Y6" s="171">
        <v>7260</v>
      </c>
      <c r="Z6" s="678"/>
      <c r="AA6" s="184">
        <v>39173</v>
      </c>
      <c r="AB6" s="638" t="s">
        <v>244</v>
      </c>
      <c r="AC6" s="577" t="s">
        <v>245</v>
      </c>
      <c r="AF6" s="691"/>
      <c r="AG6" s="693" t="s">
        <v>246</v>
      </c>
      <c r="AH6" s="694" t="s">
        <v>247</v>
      </c>
      <c r="AI6" s="694" t="s">
        <v>248</v>
      </c>
      <c r="AJ6" s="694" t="s">
        <v>249</v>
      </c>
      <c r="AK6" s="694" t="s">
        <v>78</v>
      </c>
      <c r="AL6" s="694" t="s">
        <v>250</v>
      </c>
      <c r="AM6" s="702" t="s">
        <v>251</v>
      </c>
    </row>
    <row r="7" spans="1:39" ht="15" customHeight="1" x14ac:dyDescent="0.2">
      <c r="B7" s="858"/>
      <c r="C7" s="3" t="s">
        <v>252</v>
      </c>
      <c r="D7" s="659" t="s">
        <v>197</v>
      </c>
      <c r="E7" s="2">
        <v>1</v>
      </c>
      <c r="F7" s="2">
        <v>1</v>
      </c>
      <c r="G7" s="2">
        <v>1</v>
      </c>
      <c r="I7" s="4" t="s">
        <v>253</v>
      </c>
      <c r="J7" s="4" t="s">
        <v>254</v>
      </c>
      <c r="L7" s="3" t="s">
        <v>91</v>
      </c>
      <c r="M7" s="3">
        <v>2</v>
      </c>
      <c r="O7" s="3" t="s">
        <v>255</v>
      </c>
      <c r="P7" s="155">
        <v>0.04</v>
      </c>
      <c r="R7" s="154" t="s">
        <v>256</v>
      </c>
      <c r="S7" s="182">
        <v>60000.380000000005</v>
      </c>
      <c r="T7" s="757"/>
      <c r="U7" s="751"/>
      <c r="V7" s="173" t="s">
        <v>257</v>
      </c>
      <c r="W7" s="174">
        <v>0</v>
      </c>
      <c r="X7" s="170"/>
      <c r="Y7" s="171">
        <v>7300</v>
      </c>
      <c r="Z7" s="678"/>
      <c r="AA7" s="184">
        <v>39018</v>
      </c>
      <c r="AB7" s="638" t="s">
        <v>244</v>
      </c>
      <c r="AC7" s="577" t="s">
        <v>258</v>
      </c>
      <c r="AF7" s="848" t="s">
        <v>259</v>
      </c>
      <c r="AG7" s="695"/>
      <c r="AH7" s="695"/>
      <c r="AI7" s="695"/>
      <c r="AJ7" s="695"/>
      <c r="AK7" s="703" t="s">
        <v>260</v>
      </c>
      <c r="AL7" s="695"/>
      <c r="AM7" s="695" t="s">
        <v>261</v>
      </c>
    </row>
    <row r="8" spans="1:39" ht="15" customHeight="1" x14ac:dyDescent="0.2">
      <c r="B8" s="859"/>
      <c r="C8" s="4" t="s">
        <v>262</v>
      </c>
      <c r="D8" s="659" t="s">
        <v>263</v>
      </c>
      <c r="E8" s="2">
        <v>1</v>
      </c>
      <c r="F8" s="2">
        <v>0.66</v>
      </c>
      <c r="G8" s="2">
        <v>0.66</v>
      </c>
      <c r="I8" s="4" t="s">
        <v>259</v>
      </c>
      <c r="J8" s="4" t="s">
        <v>264</v>
      </c>
      <c r="L8" s="3" t="s">
        <v>265</v>
      </c>
      <c r="M8" s="3">
        <v>2</v>
      </c>
      <c r="R8" s="154" t="s">
        <v>266</v>
      </c>
      <c r="S8" s="182">
        <v>53499.6</v>
      </c>
      <c r="T8" s="757"/>
      <c r="U8" s="751"/>
      <c r="V8" s="173" t="s">
        <v>267</v>
      </c>
      <c r="W8" s="174">
        <v>0</v>
      </c>
      <c r="X8" s="170"/>
      <c r="Y8" s="171">
        <v>900</v>
      </c>
      <c r="Z8" s="171"/>
      <c r="AA8" s="173"/>
      <c r="AB8" s="638"/>
      <c r="AC8" s="577" t="s">
        <v>84</v>
      </c>
      <c r="AF8" s="849"/>
      <c r="AG8" s="695"/>
      <c r="AH8" s="695"/>
      <c r="AI8" s="695"/>
      <c r="AJ8" s="695"/>
      <c r="AK8" s="703" t="s">
        <v>268</v>
      </c>
      <c r="AL8" s="695"/>
      <c r="AM8" s="695"/>
    </row>
    <row r="9" spans="1:39" ht="15" customHeight="1" x14ac:dyDescent="0.2">
      <c r="B9" s="854" t="s">
        <v>269</v>
      </c>
      <c r="C9" s="660" t="s">
        <v>270</v>
      </c>
      <c r="D9" s="659" t="s">
        <v>271</v>
      </c>
      <c r="E9" s="659">
        <v>0</v>
      </c>
      <c r="F9" s="2">
        <v>0</v>
      </c>
      <c r="G9" s="2">
        <v>1</v>
      </c>
      <c r="I9" s="4" t="s">
        <v>272</v>
      </c>
      <c r="J9" s="4" t="s">
        <v>273</v>
      </c>
      <c r="L9" s="3" t="s">
        <v>274</v>
      </c>
      <c r="M9" s="3">
        <v>3</v>
      </c>
      <c r="R9" s="154" t="s">
        <v>275</v>
      </c>
      <c r="S9" s="182">
        <v>50999.96</v>
      </c>
      <c r="T9" s="757"/>
      <c r="U9" s="751"/>
      <c r="V9" s="173" t="s">
        <v>276</v>
      </c>
      <c r="W9" s="174">
        <v>0</v>
      </c>
      <c r="X9" s="170"/>
      <c r="Y9" s="171">
        <v>950</v>
      </c>
      <c r="Z9" s="171"/>
      <c r="AA9" s="173"/>
      <c r="AB9" s="638"/>
      <c r="AC9" s="577" t="s">
        <v>84</v>
      </c>
      <c r="AF9" s="849"/>
      <c r="AG9" s="695"/>
      <c r="AH9" s="695"/>
      <c r="AI9" s="695"/>
      <c r="AJ9" s="695"/>
      <c r="AK9" s="703"/>
      <c r="AL9" s="695"/>
      <c r="AM9" s="695"/>
    </row>
    <row r="10" spans="1:39" ht="15" customHeight="1" x14ac:dyDescent="0.2">
      <c r="B10" s="855"/>
      <c r="C10" s="661" t="s">
        <v>277</v>
      </c>
      <c r="D10" s="662" t="s">
        <v>278</v>
      </c>
      <c r="E10" s="662">
        <v>1</v>
      </c>
      <c r="F10" s="662">
        <v>1</v>
      </c>
      <c r="G10" s="662">
        <v>1</v>
      </c>
      <c r="I10" s="4" t="s">
        <v>279</v>
      </c>
      <c r="J10" s="4" t="s">
        <v>280</v>
      </c>
      <c r="L10" s="3" t="s">
        <v>281</v>
      </c>
      <c r="M10" s="3">
        <v>3</v>
      </c>
      <c r="O10" s="672" t="s">
        <v>282</v>
      </c>
      <c r="P10" s="6" t="s">
        <v>283</v>
      </c>
      <c r="R10" s="154" t="s">
        <v>284</v>
      </c>
      <c r="S10" s="182">
        <v>37499.950000000004</v>
      </c>
      <c r="T10" s="757"/>
      <c r="U10" s="751"/>
      <c r="V10" s="173" t="s">
        <v>285</v>
      </c>
      <c r="W10" s="174">
        <v>0</v>
      </c>
      <c r="X10" s="170"/>
      <c r="Y10" s="171">
        <v>1080</v>
      </c>
      <c r="Z10" s="678"/>
      <c r="AA10" s="184"/>
      <c r="AB10" s="638"/>
      <c r="AC10" s="577" t="s">
        <v>286</v>
      </c>
      <c r="AF10" s="850"/>
      <c r="AG10" s="695"/>
      <c r="AH10" s="695"/>
      <c r="AI10" s="695"/>
      <c r="AJ10" s="695"/>
      <c r="AK10" s="703" t="s">
        <v>287</v>
      </c>
      <c r="AL10" s="695"/>
      <c r="AM10" s="695"/>
    </row>
    <row r="11" spans="1:39" ht="15" customHeight="1" x14ac:dyDescent="0.2">
      <c r="B11" s="855"/>
      <c r="C11" s="661" t="s">
        <v>288</v>
      </c>
      <c r="D11" s="662" t="s">
        <v>289</v>
      </c>
      <c r="E11" s="662">
        <v>1</v>
      </c>
      <c r="F11" s="662">
        <v>1.5</v>
      </c>
      <c r="G11" s="662">
        <v>1.5</v>
      </c>
      <c r="I11" s="4" t="s">
        <v>290</v>
      </c>
      <c r="J11" s="4" t="s">
        <v>291</v>
      </c>
      <c r="L11" s="3" t="s">
        <v>292</v>
      </c>
      <c r="M11" s="3">
        <v>2</v>
      </c>
      <c r="O11" s="4" t="s">
        <v>247</v>
      </c>
      <c r="P11" s="3">
        <v>1300</v>
      </c>
      <c r="R11" s="154" t="s">
        <v>293</v>
      </c>
      <c r="S11" s="182">
        <v>33500.020000000004</v>
      </c>
      <c r="T11" s="757"/>
      <c r="U11" s="751"/>
      <c r="V11" s="173" t="s">
        <v>294</v>
      </c>
      <c r="W11" s="174">
        <v>0</v>
      </c>
      <c r="X11" s="170"/>
      <c r="Y11" s="171">
        <v>8435</v>
      </c>
      <c r="Z11" s="678"/>
      <c r="AA11" s="184">
        <v>40292</v>
      </c>
      <c r="AB11" s="638"/>
      <c r="AC11" s="577" t="s">
        <v>272</v>
      </c>
      <c r="AF11" s="848" t="s">
        <v>279</v>
      </c>
      <c r="AG11" s="695"/>
      <c r="AH11" s="696" t="s">
        <v>295</v>
      </c>
      <c r="AI11" s="696" t="s">
        <v>296</v>
      </c>
      <c r="AJ11" s="696" t="s">
        <v>297</v>
      </c>
      <c r="AK11" s="696" t="s">
        <v>298</v>
      </c>
      <c r="AL11" s="695" t="s">
        <v>250</v>
      </c>
      <c r="AM11" s="695"/>
    </row>
    <row r="12" spans="1:39" ht="15" customHeight="1" x14ac:dyDescent="0.2">
      <c r="B12" s="855"/>
      <c r="C12" s="660" t="s">
        <v>299</v>
      </c>
      <c r="D12" s="659" t="s">
        <v>300</v>
      </c>
      <c r="E12" s="2">
        <v>0</v>
      </c>
      <c r="F12" s="2">
        <v>0</v>
      </c>
      <c r="G12" s="2">
        <v>1</v>
      </c>
      <c r="I12" s="4" t="s">
        <v>301</v>
      </c>
      <c r="J12" s="4" t="s">
        <v>302</v>
      </c>
      <c r="L12" s="3" t="s">
        <v>303</v>
      </c>
      <c r="M12" s="3">
        <v>3</v>
      </c>
      <c r="O12" s="4" t="s">
        <v>249</v>
      </c>
      <c r="P12" s="3">
        <v>2700</v>
      </c>
      <c r="T12" s="757"/>
      <c r="U12" s="751"/>
      <c r="V12" s="173" t="s">
        <v>304</v>
      </c>
      <c r="W12" s="174">
        <v>0</v>
      </c>
      <c r="X12" s="170"/>
      <c r="Y12" s="171">
        <v>9000</v>
      </c>
      <c r="Z12" s="678"/>
      <c r="AA12" s="184">
        <v>40055</v>
      </c>
      <c r="AB12" s="638"/>
      <c r="AC12" s="577" t="s">
        <v>272</v>
      </c>
      <c r="AF12" s="849"/>
      <c r="AG12" s="695"/>
      <c r="AH12" s="697" t="s">
        <v>305</v>
      </c>
      <c r="AI12" s="696" t="s">
        <v>306</v>
      </c>
      <c r="AJ12" s="696" t="s">
        <v>307</v>
      </c>
      <c r="AK12" s="696" t="s">
        <v>308</v>
      </c>
      <c r="AL12" s="695"/>
      <c r="AM12" s="695"/>
    </row>
    <row r="13" spans="1:39" ht="15" customHeight="1" x14ac:dyDescent="0.2">
      <c r="B13" s="855"/>
      <c r="C13" s="661" t="s">
        <v>309</v>
      </c>
      <c r="D13" s="662" t="s">
        <v>310</v>
      </c>
      <c r="E13" s="662">
        <v>1</v>
      </c>
      <c r="F13" s="662">
        <v>1</v>
      </c>
      <c r="G13" s="662">
        <v>1</v>
      </c>
      <c r="I13" s="4" t="s">
        <v>84</v>
      </c>
      <c r="J13" s="4" t="s">
        <v>311</v>
      </c>
      <c r="R13" s="154" t="s">
        <v>312</v>
      </c>
      <c r="S13" s="394">
        <v>36500</v>
      </c>
      <c r="V13" s="173" t="s">
        <v>313</v>
      </c>
      <c r="W13" s="174">
        <v>400</v>
      </c>
      <c r="X13" s="170"/>
      <c r="Y13" s="171">
        <v>7604</v>
      </c>
      <c r="Z13" s="171"/>
      <c r="AA13" s="173">
        <v>40719</v>
      </c>
      <c r="AB13" s="638"/>
      <c r="AC13" s="577" t="s">
        <v>272</v>
      </c>
      <c r="AF13" s="849"/>
      <c r="AG13" s="695"/>
      <c r="AH13" s="696"/>
      <c r="AI13" s="696" t="s">
        <v>314</v>
      </c>
      <c r="AJ13" s="696" t="s">
        <v>315</v>
      </c>
      <c r="AK13" s="696" t="s">
        <v>316</v>
      </c>
      <c r="AL13" s="695"/>
      <c r="AM13" s="695"/>
    </row>
    <row r="14" spans="1:39" ht="15" customHeight="1" x14ac:dyDescent="0.2">
      <c r="B14" s="855"/>
      <c r="C14" s="661" t="s">
        <v>317</v>
      </c>
      <c r="D14" s="662" t="s">
        <v>318</v>
      </c>
      <c r="E14" s="662">
        <v>1</v>
      </c>
      <c r="F14" s="662">
        <v>1.5</v>
      </c>
      <c r="G14" s="662">
        <v>1.5</v>
      </c>
      <c r="I14" s="4" t="s">
        <v>286</v>
      </c>
      <c r="J14" s="4" t="s">
        <v>319</v>
      </c>
      <c r="R14" s="154" t="s">
        <v>320</v>
      </c>
      <c r="S14" s="394">
        <v>68000</v>
      </c>
      <c r="T14" s="758"/>
      <c r="U14" s="752"/>
      <c r="V14" s="173" t="s">
        <v>321</v>
      </c>
      <c r="W14" s="174">
        <v>400</v>
      </c>
      <c r="X14" s="407">
        <v>20</v>
      </c>
      <c r="Y14" s="748">
        <v>7916</v>
      </c>
      <c r="Z14" s="748"/>
      <c r="AA14" s="173">
        <v>40988</v>
      </c>
      <c r="AB14" s="638"/>
      <c r="AC14" s="577" t="s">
        <v>290</v>
      </c>
      <c r="AF14" s="849"/>
      <c r="AG14" s="695"/>
      <c r="AH14" s="697"/>
      <c r="AI14" s="697" t="s">
        <v>322</v>
      </c>
      <c r="AJ14" s="696" t="s">
        <v>323</v>
      </c>
      <c r="AK14" s="695"/>
      <c r="AL14" s="695"/>
      <c r="AM14" s="695"/>
    </row>
    <row r="15" spans="1:39" ht="15" customHeight="1" x14ac:dyDescent="0.2">
      <c r="B15" s="855"/>
      <c r="C15" s="660" t="s">
        <v>324</v>
      </c>
      <c r="D15" s="659" t="s">
        <v>325</v>
      </c>
      <c r="E15" s="2">
        <v>0</v>
      </c>
      <c r="F15" s="2">
        <v>0</v>
      </c>
      <c r="G15" s="2">
        <v>1</v>
      </c>
      <c r="I15" s="4" t="s">
        <v>326</v>
      </c>
      <c r="J15" s="4" t="s">
        <v>327</v>
      </c>
      <c r="L15" s="865" t="s">
        <v>328</v>
      </c>
      <c r="O15" s="640" t="s">
        <v>329</v>
      </c>
      <c r="P15" s="575"/>
      <c r="R15" s="154" t="s">
        <v>330</v>
      </c>
      <c r="S15" s="394">
        <v>48750</v>
      </c>
      <c r="T15" s="757"/>
      <c r="U15" s="752"/>
      <c r="V15" s="173" t="s">
        <v>331</v>
      </c>
      <c r="W15" s="174">
        <v>0</v>
      </c>
      <c r="X15" s="407"/>
      <c r="Y15" s="748">
        <v>7426</v>
      </c>
      <c r="Z15" s="748"/>
      <c r="AA15" s="173">
        <v>40064</v>
      </c>
      <c r="AB15" s="638"/>
      <c r="AC15" s="577" t="s">
        <v>326</v>
      </c>
      <c r="AF15" s="849"/>
      <c r="AG15" s="695"/>
      <c r="AH15" s="697"/>
      <c r="AI15" s="697"/>
      <c r="AJ15" s="696" t="s">
        <v>332</v>
      </c>
      <c r="AK15" s="695"/>
      <c r="AL15" s="695"/>
      <c r="AM15" s="695"/>
    </row>
    <row r="16" spans="1:39" ht="15" customHeight="1" x14ac:dyDescent="0.2">
      <c r="B16" s="855"/>
      <c r="C16" s="661" t="s">
        <v>333</v>
      </c>
      <c r="D16" s="662" t="s">
        <v>334</v>
      </c>
      <c r="E16" s="662">
        <v>1</v>
      </c>
      <c r="F16" s="662">
        <v>1</v>
      </c>
      <c r="G16" s="662">
        <v>1</v>
      </c>
      <c r="I16" s="4" t="s">
        <v>335</v>
      </c>
      <c r="J16" s="4" t="s">
        <v>336</v>
      </c>
      <c r="L16" s="866"/>
      <c r="O16" s="576" t="s">
        <v>337</v>
      </c>
      <c r="P16" s="575"/>
      <c r="R16" s="154" t="s">
        <v>338</v>
      </c>
      <c r="S16" s="394">
        <v>43500</v>
      </c>
      <c r="T16" s="757"/>
      <c r="U16" s="752"/>
      <c r="V16" s="173" t="s">
        <v>339</v>
      </c>
      <c r="W16" s="174">
        <v>0</v>
      </c>
      <c r="X16" s="170">
        <v>15</v>
      </c>
      <c r="Y16" s="171">
        <v>8215</v>
      </c>
      <c r="Z16" s="171"/>
      <c r="AA16" s="173">
        <v>40444</v>
      </c>
      <c r="AB16" s="638"/>
      <c r="AC16" s="577" t="s">
        <v>245</v>
      </c>
      <c r="AF16" s="849"/>
      <c r="AG16" s="695"/>
      <c r="AH16" s="695"/>
      <c r="AI16" s="695"/>
      <c r="AJ16" s="696" t="s">
        <v>340</v>
      </c>
      <c r="AK16" s="695"/>
      <c r="AL16" s="695"/>
      <c r="AM16" s="695"/>
    </row>
    <row r="17" spans="2:39" ht="15" customHeight="1" x14ac:dyDescent="0.2">
      <c r="B17" s="855"/>
      <c r="C17" s="661" t="s">
        <v>341</v>
      </c>
      <c r="D17" s="662" t="s">
        <v>342</v>
      </c>
      <c r="E17" s="662">
        <v>1</v>
      </c>
      <c r="F17" s="662">
        <v>1.5</v>
      </c>
      <c r="G17" s="662">
        <v>1.5</v>
      </c>
      <c r="I17" s="4" t="s">
        <v>343</v>
      </c>
      <c r="J17" s="4" t="s">
        <v>344</v>
      </c>
      <c r="L17" s="3"/>
      <c r="O17" s="576" t="s">
        <v>345</v>
      </c>
      <c r="P17" s="575"/>
      <c r="T17" s="757"/>
      <c r="U17" s="752"/>
      <c r="V17" s="173" t="s">
        <v>346</v>
      </c>
      <c r="W17" s="174">
        <v>400</v>
      </c>
      <c r="X17" s="170"/>
      <c r="Y17" s="171">
        <v>7002</v>
      </c>
      <c r="Z17" s="171"/>
      <c r="AA17" s="173">
        <v>40065</v>
      </c>
      <c r="AB17" s="638"/>
      <c r="AC17" s="577" t="s">
        <v>286</v>
      </c>
      <c r="AF17" s="850"/>
      <c r="AG17" s="695"/>
      <c r="AH17" s="695"/>
      <c r="AI17" s="695"/>
      <c r="AJ17" s="696" t="s">
        <v>347</v>
      </c>
      <c r="AK17" s="695"/>
      <c r="AL17" s="695"/>
      <c r="AM17" s="695"/>
    </row>
    <row r="18" spans="2:39" ht="15" customHeight="1" x14ac:dyDescent="0.2">
      <c r="B18" s="855"/>
      <c r="C18" s="660" t="s">
        <v>348</v>
      </c>
      <c r="D18" s="659" t="s">
        <v>349</v>
      </c>
      <c r="E18" s="2">
        <v>0</v>
      </c>
      <c r="F18" s="2">
        <v>0</v>
      </c>
      <c r="G18" s="2">
        <v>1</v>
      </c>
      <c r="I18" s="4" t="s">
        <v>258</v>
      </c>
      <c r="J18" s="4" t="s">
        <v>350</v>
      </c>
      <c r="L18" s="3">
        <v>0</v>
      </c>
      <c r="O18" s="576" t="s">
        <v>351</v>
      </c>
      <c r="P18" s="575"/>
      <c r="R18" s="154" t="s">
        <v>352</v>
      </c>
      <c r="S18" s="394">
        <v>247</v>
      </c>
      <c r="U18" s="753"/>
      <c r="V18" s="173" t="s">
        <v>353</v>
      </c>
      <c r="W18" s="174">
        <v>0</v>
      </c>
      <c r="X18" s="170">
        <v>38</v>
      </c>
      <c r="Y18" s="748">
        <v>9000</v>
      </c>
      <c r="Z18" s="763"/>
      <c r="AA18" s="184">
        <v>40193</v>
      </c>
      <c r="AB18" s="638"/>
      <c r="AC18" s="577" t="s">
        <v>258</v>
      </c>
      <c r="AF18" s="848" t="s">
        <v>290</v>
      </c>
      <c r="AG18" s="695"/>
      <c r="AH18" s="695"/>
      <c r="AI18" s="696" t="s">
        <v>354</v>
      </c>
      <c r="AJ18" s="696" t="s">
        <v>355</v>
      </c>
      <c r="AK18" s="696" t="s">
        <v>356</v>
      </c>
      <c r="AL18" s="695" t="s">
        <v>250</v>
      </c>
      <c r="AM18" s="695"/>
    </row>
    <row r="19" spans="2:39" ht="15" customHeight="1" x14ac:dyDescent="0.2">
      <c r="B19" s="855"/>
      <c r="C19" s="661" t="s">
        <v>357</v>
      </c>
      <c r="D19" s="662" t="s">
        <v>358</v>
      </c>
      <c r="E19" s="662">
        <v>1</v>
      </c>
      <c r="F19" s="662">
        <v>1</v>
      </c>
      <c r="G19" s="662">
        <v>1</v>
      </c>
      <c r="I19" s="4" t="s">
        <v>359</v>
      </c>
      <c r="J19" s="4" t="s">
        <v>360</v>
      </c>
      <c r="L19" s="3">
        <v>20</v>
      </c>
      <c r="O19" s="576" t="s">
        <v>58</v>
      </c>
      <c r="P19" s="575"/>
      <c r="R19" s="154" t="s">
        <v>361</v>
      </c>
      <c r="S19" s="394">
        <v>130</v>
      </c>
      <c r="T19" s="758"/>
      <c r="U19" s="752"/>
      <c r="V19" s="173" t="s">
        <v>362</v>
      </c>
      <c r="W19" s="174">
        <v>0</v>
      </c>
      <c r="X19" s="170">
        <v>16</v>
      </c>
      <c r="Y19" s="748">
        <v>7610</v>
      </c>
      <c r="Z19" s="748"/>
      <c r="AA19" s="173">
        <v>40061</v>
      </c>
      <c r="AB19" s="638"/>
      <c r="AC19" s="577" t="s">
        <v>258</v>
      </c>
      <c r="AF19" s="849"/>
      <c r="AG19" s="695"/>
      <c r="AH19" s="695"/>
      <c r="AI19" s="695"/>
      <c r="AJ19" s="696" t="s">
        <v>363</v>
      </c>
      <c r="AK19" s="696" t="s">
        <v>364</v>
      </c>
      <c r="AL19" s="695"/>
      <c r="AM19" s="695"/>
    </row>
    <row r="20" spans="2:39" ht="15" customHeight="1" x14ac:dyDescent="0.2">
      <c r="B20" s="855"/>
      <c r="C20" s="661" t="s">
        <v>365</v>
      </c>
      <c r="D20" s="662" t="s">
        <v>366</v>
      </c>
      <c r="E20" s="662">
        <v>1</v>
      </c>
      <c r="F20" s="662">
        <v>1.5</v>
      </c>
      <c r="G20" s="662">
        <v>1.5</v>
      </c>
      <c r="O20" s="576" t="s">
        <v>367</v>
      </c>
      <c r="P20" s="575"/>
      <c r="R20" s="154" t="s">
        <v>368</v>
      </c>
      <c r="S20" s="394">
        <v>62</v>
      </c>
      <c r="T20" s="758"/>
      <c r="U20" s="752"/>
      <c r="V20" s="173" t="s">
        <v>369</v>
      </c>
      <c r="W20" s="175">
        <v>0</v>
      </c>
      <c r="X20" s="170">
        <v>18</v>
      </c>
      <c r="Y20" s="171">
        <v>7610</v>
      </c>
      <c r="Z20" s="678"/>
      <c r="AA20" s="184">
        <v>40061</v>
      </c>
      <c r="AB20" s="638"/>
      <c r="AC20" s="577" t="s">
        <v>258</v>
      </c>
      <c r="AF20" s="849"/>
      <c r="AG20" s="695"/>
      <c r="AH20" s="695"/>
      <c r="AI20" s="695"/>
      <c r="AJ20" s="696" t="s">
        <v>370</v>
      </c>
      <c r="AK20" s="696" t="s">
        <v>371</v>
      </c>
      <c r="AL20" s="695"/>
      <c r="AM20" s="695"/>
    </row>
    <row r="21" spans="2:39" ht="15" customHeight="1" x14ac:dyDescent="0.2">
      <c r="B21" s="855"/>
      <c r="C21" s="660" t="s">
        <v>372</v>
      </c>
      <c r="D21" s="659" t="s">
        <v>373</v>
      </c>
      <c r="E21" s="685">
        <v>1</v>
      </c>
      <c r="F21" s="685">
        <v>1</v>
      </c>
      <c r="G21" s="2">
        <v>1</v>
      </c>
      <c r="O21" s="576" t="s">
        <v>374</v>
      </c>
      <c r="P21" s="575"/>
      <c r="R21" s="154" t="s">
        <v>375</v>
      </c>
      <c r="S21" s="394">
        <v>46</v>
      </c>
      <c r="T21" s="758"/>
      <c r="U21" s="752"/>
      <c r="V21" s="173" t="s">
        <v>376</v>
      </c>
      <c r="W21" s="174">
        <v>400</v>
      </c>
      <c r="X21" s="170">
        <v>24</v>
      </c>
      <c r="Y21" s="171">
        <v>6180</v>
      </c>
      <c r="Z21" s="678"/>
      <c r="AA21" s="184">
        <v>40320</v>
      </c>
      <c r="AB21" s="638"/>
      <c r="AC21" s="577" t="s">
        <v>279</v>
      </c>
      <c r="AF21" s="850"/>
      <c r="AG21" s="695"/>
      <c r="AH21" s="695"/>
      <c r="AI21" s="695"/>
      <c r="AJ21" s="695"/>
      <c r="AK21" s="696" t="s">
        <v>377</v>
      </c>
      <c r="AL21" s="695"/>
      <c r="AM21" s="695"/>
    </row>
    <row r="22" spans="2:39" ht="15" customHeight="1" x14ac:dyDescent="0.2">
      <c r="B22" s="855"/>
      <c r="C22" s="660" t="s">
        <v>378</v>
      </c>
      <c r="D22" s="659" t="s">
        <v>379</v>
      </c>
      <c r="E22" s="2">
        <v>0</v>
      </c>
      <c r="F22" s="2">
        <v>0</v>
      </c>
      <c r="G22" s="2">
        <v>1</v>
      </c>
      <c r="I22" s="669" t="s">
        <v>380</v>
      </c>
      <c r="J22" s="669"/>
      <c r="O22" s="576" t="s">
        <v>381</v>
      </c>
      <c r="P22" s="575"/>
      <c r="T22" s="758"/>
      <c r="U22" s="752"/>
      <c r="V22" s="173" t="s">
        <v>382</v>
      </c>
      <c r="W22" s="174">
        <v>400</v>
      </c>
      <c r="X22" s="170"/>
      <c r="Y22" s="637">
        <v>7645</v>
      </c>
      <c r="Z22" s="637"/>
      <c r="AA22" s="760">
        <v>29970</v>
      </c>
      <c r="AB22" s="638" t="s">
        <v>244</v>
      </c>
      <c r="AC22" s="577" t="s">
        <v>279</v>
      </c>
      <c r="AF22" s="848" t="s">
        <v>286</v>
      </c>
      <c r="AG22" s="695"/>
      <c r="AH22" s="696" t="s">
        <v>383</v>
      </c>
      <c r="AI22" s="697" t="s">
        <v>384</v>
      </c>
      <c r="AJ22" s="696" t="s">
        <v>385</v>
      </c>
      <c r="AK22" s="695"/>
      <c r="AL22" s="695" t="s">
        <v>250</v>
      </c>
      <c r="AM22" s="696" t="s">
        <v>386</v>
      </c>
    </row>
    <row r="23" spans="2:39" ht="15" customHeight="1" x14ac:dyDescent="0.2">
      <c r="B23" s="855"/>
      <c r="C23" s="661" t="s">
        <v>387</v>
      </c>
      <c r="D23" s="662" t="s">
        <v>388</v>
      </c>
      <c r="E23" s="662">
        <v>1</v>
      </c>
      <c r="F23" s="662">
        <v>1</v>
      </c>
      <c r="G23" s="662">
        <v>1</v>
      </c>
      <c r="I23" s="669" t="s">
        <v>389</v>
      </c>
      <c r="J23" s="669"/>
      <c r="O23" s="576" t="s">
        <v>390</v>
      </c>
      <c r="P23" s="575"/>
      <c r="R23" s="643" t="s">
        <v>391</v>
      </c>
      <c r="S23" s="394">
        <v>387</v>
      </c>
      <c r="U23" s="753"/>
      <c r="V23" s="173" t="s">
        <v>392</v>
      </c>
      <c r="W23" s="174">
        <v>400</v>
      </c>
      <c r="X23" s="170"/>
      <c r="Y23" s="637">
        <v>7645</v>
      </c>
      <c r="Z23" s="637"/>
      <c r="AA23" s="760">
        <v>29970</v>
      </c>
      <c r="AB23" s="638" t="s">
        <v>244</v>
      </c>
      <c r="AC23" s="577" t="s">
        <v>279</v>
      </c>
      <c r="AF23" s="850"/>
      <c r="AG23" s="695"/>
      <c r="AH23" s="696"/>
      <c r="AI23" s="695"/>
      <c r="AJ23" s="696" t="s">
        <v>393</v>
      </c>
      <c r="AK23" s="695"/>
      <c r="AL23" s="696"/>
      <c r="AM23" s="696"/>
    </row>
    <row r="24" spans="2:39" ht="15" customHeight="1" x14ac:dyDescent="0.2">
      <c r="B24" s="855"/>
      <c r="C24" s="661" t="s">
        <v>394</v>
      </c>
      <c r="D24" s="663" t="s">
        <v>395</v>
      </c>
      <c r="E24" s="663">
        <v>1</v>
      </c>
      <c r="F24" s="662">
        <v>1.5</v>
      </c>
      <c r="G24" s="662">
        <v>1.5</v>
      </c>
      <c r="O24" s="576" t="s">
        <v>396</v>
      </c>
      <c r="P24" s="575"/>
      <c r="R24" s="154" t="s">
        <v>397</v>
      </c>
      <c r="S24" s="394">
        <v>879</v>
      </c>
      <c r="T24" s="758"/>
      <c r="U24" s="752"/>
      <c r="V24" s="173" t="s">
        <v>398</v>
      </c>
      <c r="W24" s="174">
        <v>0</v>
      </c>
      <c r="X24" s="170">
        <v>48</v>
      </c>
      <c r="Y24" s="171">
        <v>7355</v>
      </c>
      <c r="Z24" s="171"/>
      <c r="AA24" s="173">
        <v>40506</v>
      </c>
      <c r="AB24" s="638"/>
      <c r="AC24" s="577" t="s">
        <v>279</v>
      </c>
      <c r="AF24" s="851" t="s">
        <v>326</v>
      </c>
      <c r="AG24" s="707" t="s">
        <v>399</v>
      </c>
      <c r="AH24" s="708"/>
      <c r="AI24" s="707" t="s">
        <v>400</v>
      </c>
      <c r="AJ24" s="709" t="s">
        <v>401</v>
      </c>
      <c r="AK24" s="707"/>
      <c r="AL24" s="708" t="s">
        <v>250</v>
      </c>
      <c r="AM24" s="708"/>
    </row>
    <row r="25" spans="2:39" ht="15" customHeight="1" x14ac:dyDescent="0.2">
      <c r="B25" s="855"/>
      <c r="C25" s="660" t="s">
        <v>402</v>
      </c>
      <c r="D25" s="4" t="s">
        <v>403</v>
      </c>
      <c r="E25" s="4">
        <v>0</v>
      </c>
      <c r="F25" s="2">
        <v>0</v>
      </c>
      <c r="G25" s="2">
        <v>1</v>
      </c>
      <c r="O25" s="576" t="s">
        <v>404</v>
      </c>
      <c r="P25" s="575"/>
      <c r="R25" s="154" t="s">
        <v>405</v>
      </c>
      <c r="S25" s="394">
        <v>101</v>
      </c>
      <c r="T25" s="758"/>
      <c r="U25" s="752"/>
      <c r="V25" s="173" t="s">
        <v>406</v>
      </c>
      <c r="W25" s="174">
        <v>0</v>
      </c>
      <c r="X25" s="170"/>
      <c r="Y25" s="748">
        <v>7650</v>
      </c>
      <c r="Z25" s="748"/>
      <c r="AA25" s="173">
        <v>40343</v>
      </c>
      <c r="AB25" s="638"/>
      <c r="AC25" s="577" t="s">
        <v>407</v>
      </c>
      <c r="AF25" s="852"/>
      <c r="AG25" s="707" t="s">
        <v>408</v>
      </c>
      <c r="AH25" s="708"/>
      <c r="AI25" s="707" t="s">
        <v>409</v>
      </c>
      <c r="AJ25" s="708"/>
      <c r="AK25" s="708"/>
      <c r="AL25" s="708"/>
      <c r="AM25" s="708"/>
    </row>
    <row r="26" spans="2:39" ht="15" customHeight="1" x14ac:dyDescent="0.2">
      <c r="B26" s="855"/>
      <c r="C26" s="661" t="s">
        <v>410</v>
      </c>
      <c r="D26" s="663" t="s">
        <v>411</v>
      </c>
      <c r="E26" s="663">
        <v>1</v>
      </c>
      <c r="F26" s="663">
        <v>1</v>
      </c>
      <c r="G26" s="663">
        <v>1</v>
      </c>
      <c r="J26" s="641" t="s">
        <v>412</v>
      </c>
      <c r="R26" s="154" t="s">
        <v>413</v>
      </c>
      <c r="S26" s="394">
        <v>139</v>
      </c>
      <c r="T26" s="758"/>
      <c r="U26" s="752"/>
      <c r="V26" s="173" t="s">
        <v>414</v>
      </c>
      <c r="W26" s="175">
        <v>0</v>
      </c>
      <c r="X26" s="170"/>
      <c r="Y26" s="171">
        <v>7920</v>
      </c>
      <c r="Z26" s="678"/>
      <c r="AA26" s="184">
        <v>40986</v>
      </c>
      <c r="AB26" s="638"/>
      <c r="AC26" s="577" t="s">
        <v>407</v>
      </c>
      <c r="AF26" s="852"/>
      <c r="AG26" s="707" t="s">
        <v>415</v>
      </c>
      <c r="AH26" s="708"/>
      <c r="AI26" s="707"/>
      <c r="AJ26" s="708"/>
      <c r="AK26" s="708"/>
      <c r="AL26" s="708"/>
      <c r="AM26" s="708"/>
    </row>
    <row r="27" spans="2:39" ht="15" customHeight="1" x14ac:dyDescent="0.2">
      <c r="B27" s="855"/>
      <c r="C27" s="661" t="s">
        <v>416</v>
      </c>
      <c r="D27" s="663" t="s">
        <v>417</v>
      </c>
      <c r="E27" s="663">
        <v>1</v>
      </c>
      <c r="F27" s="663">
        <v>1.5</v>
      </c>
      <c r="G27" s="663">
        <v>1.5</v>
      </c>
      <c r="R27" s="154" t="s">
        <v>418</v>
      </c>
      <c r="S27" s="394">
        <v>260</v>
      </c>
      <c r="T27" s="758"/>
      <c r="U27" s="752"/>
      <c r="V27" s="173" t="s">
        <v>419</v>
      </c>
      <c r="W27" s="175">
        <v>0</v>
      </c>
      <c r="X27" s="170"/>
      <c r="Y27" s="748">
        <v>8152</v>
      </c>
      <c r="Z27" s="763"/>
      <c r="AA27" s="184">
        <v>40444</v>
      </c>
      <c r="AB27" s="638"/>
      <c r="AC27" s="577" t="s">
        <v>407</v>
      </c>
      <c r="AF27" s="852"/>
      <c r="AG27" s="707" t="s">
        <v>420</v>
      </c>
      <c r="AH27" s="708"/>
      <c r="AI27" s="707"/>
      <c r="AJ27" s="708"/>
      <c r="AK27" s="708"/>
      <c r="AL27" s="708"/>
      <c r="AM27" s="708"/>
    </row>
    <row r="28" spans="2:39" ht="15" customHeight="1" x14ac:dyDescent="0.2">
      <c r="B28" s="856"/>
      <c r="C28" s="664" t="s">
        <v>421</v>
      </c>
      <c r="D28" s="665" t="s">
        <v>422</v>
      </c>
      <c r="E28" s="665">
        <v>0</v>
      </c>
      <c r="F28" s="665">
        <v>0</v>
      </c>
      <c r="G28" s="665">
        <v>1</v>
      </c>
      <c r="J28" s="3" t="s">
        <v>423</v>
      </c>
      <c r="R28" s="154" t="s">
        <v>424</v>
      </c>
      <c r="S28" s="394">
        <v>544</v>
      </c>
      <c r="T28" s="758"/>
      <c r="U28" s="752"/>
      <c r="V28" s="173" t="s">
        <v>425</v>
      </c>
      <c r="W28" s="175">
        <v>0</v>
      </c>
      <c r="X28" s="170"/>
      <c r="Y28" s="637">
        <v>6517</v>
      </c>
      <c r="Z28" s="764"/>
      <c r="AA28" s="636">
        <v>32276</v>
      </c>
      <c r="AB28" s="638" t="s">
        <v>244</v>
      </c>
      <c r="AC28" s="577" t="s">
        <v>279</v>
      </c>
      <c r="AF28" s="853"/>
      <c r="AG28" s="707" t="s">
        <v>426</v>
      </c>
      <c r="AH28" s="708"/>
      <c r="AI28" s="707"/>
      <c r="AJ28" s="708"/>
      <c r="AK28" s="708"/>
      <c r="AL28" s="708"/>
      <c r="AM28" s="708"/>
    </row>
    <row r="29" spans="2:39" ht="15" customHeight="1" x14ac:dyDescent="0.2">
      <c r="J29" s="3" t="s">
        <v>427</v>
      </c>
      <c r="R29" s="642" t="s">
        <v>428</v>
      </c>
      <c r="S29" s="394">
        <v>184</v>
      </c>
      <c r="T29" s="758"/>
      <c r="U29" s="752"/>
      <c r="V29" s="173" t="s">
        <v>429</v>
      </c>
      <c r="W29" s="175">
        <f>132+40</f>
        <v>172</v>
      </c>
      <c r="X29" s="171">
        <v>20</v>
      </c>
      <c r="Y29" s="637">
        <v>8429</v>
      </c>
      <c r="Z29" s="764"/>
      <c r="AA29" s="184">
        <v>38208</v>
      </c>
      <c r="AB29" s="638" t="s">
        <v>244</v>
      </c>
      <c r="AC29" s="577" t="s">
        <v>279</v>
      </c>
      <c r="AF29" s="848" t="s">
        <v>430</v>
      </c>
      <c r="AG29" s="695"/>
      <c r="AH29" s="696" t="s">
        <v>431</v>
      </c>
      <c r="AI29" s="695"/>
      <c r="AJ29" s="696" t="s">
        <v>432</v>
      </c>
      <c r="AK29" s="696" t="s">
        <v>433</v>
      </c>
      <c r="AL29" s="695" t="s">
        <v>250</v>
      </c>
      <c r="AM29" s="696" t="s">
        <v>434</v>
      </c>
    </row>
    <row r="30" spans="2:39" ht="15" customHeight="1" x14ac:dyDescent="0.2">
      <c r="J30" s="3" t="s">
        <v>435</v>
      </c>
      <c r="T30" s="758"/>
      <c r="U30" s="752"/>
      <c r="V30" s="173" t="s">
        <v>436</v>
      </c>
      <c r="W30" s="175">
        <v>0</v>
      </c>
      <c r="X30" s="170"/>
      <c r="Y30" s="171">
        <v>8800</v>
      </c>
      <c r="Z30" s="678"/>
      <c r="AA30" s="184">
        <v>39278</v>
      </c>
      <c r="AB30" s="638" t="s">
        <v>244</v>
      </c>
      <c r="AC30" s="577" t="s">
        <v>279</v>
      </c>
      <c r="AF30" s="849"/>
      <c r="AG30" s="695"/>
      <c r="AH30" s="696" t="s">
        <v>437</v>
      </c>
      <c r="AI30" s="695"/>
      <c r="AJ30" s="696" t="s">
        <v>438</v>
      </c>
      <c r="AK30" s="696" t="s">
        <v>439</v>
      </c>
      <c r="AL30" s="695"/>
      <c r="AM30" s="695"/>
    </row>
    <row r="31" spans="2:39" ht="15" customHeight="1" x14ac:dyDescent="0.25">
      <c r="J31" s="3" t="s">
        <v>76</v>
      </c>
      <c r="R31" s="154" t="s">
        <v>440</v>
      </c>
      <c r="S31" s="394">
        <v>179</v>
      </c>
      <c r="U31" s="753"/>
      <c r="V31" s="173" t="s">
        <v>441</v>
      </c>
      <c r="W31" s="175">
        <v>512.31999999999994</v>
      </c>
      <c r="X31" s="170">
        <v>48</v>
      </c>
      <c r="Y31" s="637">
        <v>7399</v>
      </c>
      <c r="Z31" s="764"/>
      <c r="AA31" s="184">
        <v>38173</v>
      </c>
      <c r="AB31" s="638" t="s">
        <v>244</v>
      </c>
      <c r="AC31" s="577" t="s">
        <v>279</v>
      </c>
      <c r="AF31" s="849"/>
      <c r="AG31" s="695"/>
      <c r="AH31" s="696"/>
      <c r="AI31" s="695"/>
      <c r="AJ31" s="696" t="s">
        <v>442</v>
      </c>
      <c r="AK31" s="704" t="s">
        <v>443</v>
      </c>
      <c r="AL31" s="695"/>
      <c r="AM31" s="695"/>
    </row>
    <row r="32" spans="2:39" ht="15" customHeight="1" x14ac:dyDescent="0.2">
      <c r="T32" s="758"/>
      <c r="U32" s="752"/>
      <c r="V32" s="760" t="s">
        <v>444</v>
      </c>
      <c r="W32" s="175">
        <v>349</v>
      </c>
      <c r="X32" s="170">
        <v>30</v>
      </c>
      <c r="Y32" s="171">
        <v>6517</v>
      </c>
      <c r="Z32" s="678"/>
      <c r="AA32" s="184">
        <v>38203</v>
      </c>
      <c r="AB32" s="638"/>
      <c r="AC32" s="577" t="s">
        <v>279</v>
      </c>
      <c r="AF32" s="849"/>
      <c r="AG32" s="695"/>
      <c r="AH32" s="695"/>
      <c r="AI32" s="695"/>
      <c r="AJ32" s="696" t="s">
        <v>445</v>
      </c>
      <c r="AK32" s="696" t="s">
        <v>446</v>
      </c>
      <c r="AL32" s="695"/>
      <c r="AM32" s="695"/>
    </row>
    <row r="33" spans="10:39" ht="15" customHeight="1" x14ac:dyDescent="0.2">
      <c r="V33" s="173" t="s">
        <v>447</v>
      </c>
      <c r="W33" s="175">
        <v>353</v>
      </c>
      <c r="X33" s="170">
        <v>30</v>
      </c>
      <c r="Y33" s="171">
        <v>6517</v>
      </c>
      <c r="Z33" s="678"/>
      <c r="AA33" s="184">
        <v>38203</v>
      </c>
      <c r="AB33" s="638"/>
      <c r="AC33" s="577" t="s">
        <v>279</v>
      </c>
      <c r="AF33" s="849"/>
      <c r="AG33" s="695"/>
      <c r="AH33" s="695"/>
      <c r="AI33" s="695"/>
      <c r="AJ33" s="696" t="s">
        <v>448</v>
      </c>
      <c r="AK33" s="696" t="s">
        <v>449</v>
      </c>
      <c r="AL33" s="695"/>
      <c r="AM33" s="695"/>
    </row>
    <row r="34" spans="10:39" ht="15" customHeight="1" x14ac:dyDescent="0.25">
      <c r="J34" s="641" t="s">
        <v>450</v>
      </c>
      <c r="V34" s="173" t="s">
        <v>451</v>
      </c>
      <c r="W34" s="175">
        <v>306</v>
      </c>
      <c r="X34" s="170">
        <v>25</v>
      </c>
      <c r="Y34" s="748">
        <v>6842</v>
      </c>
      <c r="Z34" s="763"/>
      <c r="AA34" s="184">
        <v>39294</v>
      </c>
      <c r="AB34" s="638"/>
      <c r="AC34" s="577" t="s">
        <v>279</v>
      </c>
      <c r="AF34" s="850"/>
      <c r="AG34" s="695"/>
      <c r="AH34" s="695"/>
      <c r="AI34" s="695"/>
      <c r="AJ34" s="695" t="s">
        <v>452</v>
      </c>
      <c r="AL34" s="695"/>
      <c r="AM34" s="695"/>
    </row>
    <row r="35" spans="10:39" ht="15" customHeight="1" x14ac:dyDescent="0.2">
      <c r="V35" s="173" t="s">
        <v>453</v>
      </c>
      <c r="W35" s="175">
        <v>292</v>
      </c>
      <c r="X35" s="170">
        <v>20</v>
      </c>
      <c r="Y35" s="748">
        <v>8429</v>
      </c>
      <c r="Z35" s="763"/>
      <c r="AA35" s="184">
        <v>38208</v>
      </c>
      <c r="AB35" s="638"/>
      <c r="AC35" s="577" t="s">
        <v>279</v>
      </c>
      <c r="AF35" s="848" t="s">
        <v>238</v>
      </c>
      <c r="AG35" s="695"/>
      <c r="AH35" s="696" t="s">
        <v>454</v>
      </c>
      <c r="AI35" s="695"/>
      <c r="AJ35" s="696" t="s">
        <v>455</v>
      </c>
      <c r="AK35" s="696" t="s">
        <v>456</v>
      </c>
      <c r="AL35" s="695" t="s">
        <v>250</v>
      </c>
      <c r="AM35" s="696"/>
    </row>
    <row r="36" spans="10:39" ht="15" customHeight="1" x14ac:dyDescent="0.2">
      <c r="J36" s="3" t="s">
        <v>247</v>
      </c>
      <c r="V36" s="173" t="s">
        <v>457</v>
      </c>
      <c r="W36" s="175">
        <v>357</v>
      </c>
      <c r="X36" s="170">
        <v>24</v>
      </c>
      <c r="Y36" s="171">
        <v>8800</v>
      </c>
      <c r="Z36" s="678"/>
      <c r="AA36" s="184">
        <v>39278</v>
      </c>
      <c r="AB36" s="638"/>
      <c r="AC36" s="577" t="s">
        <v>279</v>
      </c>
      <c r="AF36" s="849"/>
      <c r="AG36" s="695"/>
      <c r="AH36" s="696" t="s">
        <v>458</v>
      </c>
      <c r="AI36" s="695"/>
      <c r="AJ36" s="696" t="s">
        <v>459</v>
      </c>
      <c r="AK36" s="696" t="s">
        <v>460</v>
      </c>
      <c r="AL36" s="695"/>
      <c r="AM36" s="695"/>
    </row>
    <row r="37" spans="10:39" ht="15" customHeight="1" x14ac:dyDescent="0.2">
      <c r="J37" s="3" t="s">
        <v>248</v>
      </c>
      <c r="V37" s="173" t="s">
        <v>461</v>
      </c>
      <c r="W37" s="175">
        <v>511</v>
      </c>
      <c r="X37" s="170">
        <v>32</v>
      </c>
      <c r="Y37" s="171">
        <v>8800</v>
      </c>
      <c r="Z37" s="678"/>
      <c r="AA37" s="184">
        <v>39278</v>
      </c>
      <c r="AB37" s="638"/>
      <c r="AC37" s="577" t="s">
        <v>279</v>
      </c>
      <c r="AF37" s="849"/>
      <c r="AG37" s="695"/>
      <c r="AH37" s="696" t="s">
        <v>462</v>
      </c>
      <c r="AI37" s="695"/>
      <c r="AJ37" s="696" t="s">
        <v>463</v>
      </c>
      <c r="AK37" s="696" t="s">
        <v>464</v>
      </c>
      <c r="AL37" s="695"/>
      <c r="AM37" s="695"/>
    </row>
    <row r="38" spans="10:39" ht="15" customHeight="1" x14ac:dyDescent="0.2">
      <c r="J38" s="3" t="s">
        <v>249</v>
      </c>
      <c r="V38" s="173" t="s">
        <v>465</v>
      </c>
      <c r="W38" s="175">
        <v>333</v>
      </c>
      <c r="X38" s="170">
        <v>24</v>
      </c>
      <c r="Y38" s="171">
        <v>8800</v>
      </c>
      <c r="Z38" s="678"/>
      <c r="AA38" s="184">
        <v>39278</v>
      </c>
      <c r="AB38" s="638"/>
      <c r="AC38" s="577" t="s">
        <v>279</v>
      </c>
      <c r="AF38" s="849"/>
      <c r="AG38" s="695"/>
      <c r="AH38" s="696" t="s">
        <v>466</v>
      </c>
      <c r="AI38" s="695"/>
      <c r="AJ38" s="697" t="s">
        <v>467</v>
      </c>
      <c r="AK38" s="695"/>
      <c r="AL38" s="695"/>
      <c r="AM38" s="695"/>
    </row>
    <row r="39" spans="10:39" ht="15" customHeight="1" x14ac:dyDescent="0.2">
      <c r="J39" s="3" t="s">
        <v>246</v>
      </c>
      <c r="V39" s="173" t="s">
        <v>468</v>
      </c>
      <c r="W39" s="175">
        <v>234.79999999999998</v>
      </c>
      <c r="X39" s="170">
        <v>24</v>
      </c>
      <c r="Y39" s="748">
        <v>7399</v>
      </c>
      <c r="Z39" s="763"/>
      <c r="AA39" s="184">
        <v>38173</v>
      </c>
      <c r="AB39" s="638"/>
      <c r="AC39" s="577" t="s">
        <v>279</v>
      </c>
      <c r="AF39" s="849"/>
      <c r="AG39" s="695"/>
      <c r="AH39" s="696" t="s">
        <v>469</v>
      </c>
      <c r="AI39" s="695"/>
      <c r="AJ39" s="696" t="s">
        <v>470</v>
      </c>
      <c r="AK39" s="695"/>
      <c r="AL39" s="695"/>
      <c r="AM39" s="695"/>
    </row>
    <row r="40" spans="10:39" ht="15" customHeight="1" x14ac:dyDescent="0.2">
      <c r="J40" s="3" t="s">
        <v>78</v>
      </c>
      <c r="V40" s="173" t="s">
        <v>471</v>
      </c>
      <c r="W40" s="175">
        <v>0</v>
      </c>
      <c r="X40" s="170"/>
      <c r="Y40" s="748">
        <v>3605</v>
      </c>
      <c r="Z40" s="763"/>
      <c r="AA40" s="184"/>
      <c r="AB40" s="638"/>
      <c r="AC40" s="577" t="s">
        <v>279</v>
      </c>
      <c r="AF40" s="849"/>
      <c r="AG40" s="695"/>
      <c r="AH40" s="696"/>
      <c r="AI40" s="695"/>
      <c r="AJ40" s="697" t="s">
        <v>370</v>
      </c>
      <c r="AK40" s="695"/>
      <c r="AL40" s="695"/>
      <c r="AM40" s="695"/>
    </row>
    <row r="41" spans="10:39" ht="15" customHeight="1" x14ac:dyDescent="0.2">
      <c r="J41" s="3" t="s">
        <v>472</v>
      </c>
      <c r="V41" s="173" t="s">
        <v>473</v>
      </c>
      <c r="W41" s="175">
        <v>0</v>
      </c>
      <c r="X41" s="170"/>
      <c r="Y41" s="748">
        <v>2780</v>
      </c>
      <c r="Z41" s="763"/>
      <c r="AA41" s="184"/>
      <c r="AB41" s="638"/>
      <c r="AC41" s="577" t="s">
        <v>279</v>
      </c>
      <c r="AF41" s="849"/>
      <c r="AG41" s="695"/>
      <c r="AH41" s="696"/>
      <c r="AI41" s="695"/>
      <c r="AJ41" s="696" t="s">
        <v>474</v>
      </c>
      <c r="AK41" s="695"/>
      <c r="AL41" s="695"/>
      <c r="AM41" s="695"/>
    </row>
    <row r="42" spans="10:39" ht="15" customHeight="1" x14ac:dyDescent="0.2">
      <c r="J42" s="3" t="s">
        <v>250</v>
      </c>
      <c r="V42" s="173" t="s">
        <v>475</v>
      </c>
      <c r="W42" s="175">
        <v>0</v>
      </c>
      <c r="X42" s="170"/>
      <c r="Y42" s="748">
        <v>2780</v>
      </c>
      <c r="Z42" s="763"/>
      <c r="AA42" s="184"/>
      <c r="AB42" s="638"/>
      <c r="AC42" s="577" t="s">
        <v>279</v>
      </c>
      <c r="AF42" s="850"/>
      <c r="AG42" s="695"/>
      <c r="AH42" s="696"/>
      <c r="AI42" s="695"/>
      <c r="AJ42" s="695" t="s">
        <v>476</v>
      </c>
      <c r="AK42" s="695"/>
      <c r="AL42" s="695"/>
      <c r="AM42" s="695"/>
    </row>
    <row r="43" spans="10:39" ht="15" customHeight="1" x14ac:dyDescent="0.2">
      <c r="V43" s="173" t="s">
        <v>477</v>
      </c>
      <c r="W43" s="175">
        <v>324</v>
      </c>
      <c r="X43" s="170">
        <v>31</v>
      </c>
      <c r="Y43" s="171">
        <v>7999</v>
      </c>
      <c r="Z43" s="678"/>
      <c r="AA43" s="184">
        <v>39263</v>
      </c>
      <c r="AB43" s="638"/>
      <c r="AC43" s="577" t="s">
        <v>245</v>
      </c>
      <c r="AF43" s="848" t="s">
        <v>272</v>
      </c>
      <c r="AG43" s="695"/>
      <c r="AH43" s="696" t="s">
        <v>478</v>
      </c>
      <c r="AI43" s="696" t="s">
        <v>479</v>
      </c>
      <c r="AJ43" s="696" t="s">
        <v>480</v>
      </c>
      <c r="AK43" s="695" t="s">
        <v>481</v>
      </c>
      <c r="AL43" s="695" t="s">
        <v>250</v>
      </c>
      <c r="AM43" s="695" t="s">
        <v>482</v>
      </c>
    </row>
    <row r="44" spans="10:39" ht="15" customHeight="1" x14ac:dyDescent="0.2">
      <c r="V44" s="173" t="s">
        <v>483</v>
      </c>
      <c r="W44" s="175">
        <v>0</v>
      </c>
      <c r="X44" s="170"/>
      <c r="Y44" s="171">
        <v>1805</v>
      </c>
      <c r="Z44" s="678"/>
      <c r="AA44" s="184"/>
      <c r="AB44" s="638"/>
      <c r="AC44" s="577" t="s">
        <v>286</v>
      </c>
      <c r="AF44" s="849"/>
      <c r="AG44" s="695"/>
      <c r="AH44" s="696" t="s">
        <v>484</v>
      </c>
      <c r="AI44" s="696" t="s">
        <v>485</v>
      </c>
      <c r="AJ44" s="696" t="s">
        <v>486</v>
      </c>
      <c r="AK44" s="695" t="s">
        <v>487</v>
      </c>
      <c r="AL44" s="695"/>
      <c r="AM44" s="695"/>
    </row>
    <row r="45" spans="10:39" ht="15" customHeight="1" x14ac:dyDescent="0.2">
      <c r="V45" s="173" t="s">
        <v>488</v>
      </c>
      <c r="W45" s="175">
        <v>0</v>
      </c>
      <c r="X45" s="170"/>
      <c r="Y45" s="171">
        <v>2940</v>
      </c>
      <c r="Z45" s="678"/>
      <c r="AA45" s="184"/>
      <c r="AB45" s="638"/>
      <c r="AC45" s="577" t="s">
        <v>286</v>
      </c>
      <c r="AF45" s="849"/>
      <c r="AG45" s="695"/>
      <c r="AH45" s="696"/>
      <c r="AI45" s="696"/>
      <c r="AJ45" s="696" t="s">
        <v>489</v>
      </c>
      <c r="AK45" s="695" t="s">
        <v>490</v>
      </c>
      <c r="AL45" s="695"/>
      <c r="AM45" s="695"/>
    </row>
    <row r="46" spans="10:39" ht="15" customHeight="1" x14ac:dyDescent="0.2">
      <c r="V46" s="173" t="s">
        <v>491</v>
      </c>
      <c r="W46" s="175">
        <v>0</v>
      </c>
      <c r="X46" s="170"/>
      <c r="Y46" s="171">
        <v>3295</v>
      </c>
      <c r="Z46" s="678"/>
      <c r="AA46" s="184"/>
      <c r="AB46" s="638"/>
      <c r="AC46" s="577" t="s">
        <v>286</v>
      </c>
      <c r="AF46" s="849"/>
      <c r="AG46" s="695"/>
      <c r="AH46" s="695"/>
      <c r="AI46" s="695"/>
      <c r="AJ46" s="696" t="s">
        <v>492</v>
      </c>
      <c r="AK46" s="695" t="s">
        <v>493</v>
      </c>
      <c r="AL46" s="695"/>
      <c r="AM46" s="695"/>
    </row>
    <row r="47" spans="10:39" ht="15" customHeight="1" x14ac:dyDescent="0.25">
      <c r="V47" s="173" t="s">
        <v>494</v>
      </c>
      <c r="W47" s="175">
        <v>0</v>
      </c>
      <c r="X47" s="170"/>
      <c r="Y47" s="171">
        <v>600</v>
      </c>
      <c r="Z47" s="678"/>
      <c r="AA47" s="184"/>
      <c r="AB47" s="638"/>
      <c r="AC47" s="577" t="s">
        <v>84</v>
      </c>
      <c r="AF47" s="849"/>
      <c r="AG47" s="695"/>
      <c r="AH47" s="695"/>
      <c r="AI47" s="695"/>
      <c r="AJ47" s="705"/>
      <c r="AK47" s="695" t="s">
        <v>495</v>
      </c>
      <c r="AL47" s="695"/>
      <c r="AM47" s="695"/>
    </row>
    <row r="48" spans="10:39" ht="15" customHeight="1" x14ac:dyDescent="0.25">
      <c r="V48" s="173" t="s">
        <v>496</v>
      </c>
      <c r="W48" s="175">
        <v>0</v>
      </c>
      <c r="X48" s="170"/>
      <c r="Y48" s="171">
        <v>775</v>
      </c>
      <c r="Z48" s="678"/>
      <c r="AA48" s="184"/>
      <c r="AB48" s="638"/>
      <c r="AC48" s="577" t="s">
        <v>84</v>
      </c>
      <c r="AF48" s="849"/>
      <c r="AG48" s="695"/>
      <c r="AH48" s="695"/>
      <c r="AI48" s="695"/>
      <c r="AJ48" s="705"/>
      <c r="AK48" s="695"/>
      <c r="AL48" s="695"/>
      <c r="AM48" s="695"/>
    </row>
    <row r="49" spans="22:39" ht="15" customHeight="1" x14ac:dyDescent="0.2">
      <c r="V49" s="173" t="s">
        <v>497</v>
      </c>
      <c r="W49" s="175">
        <v>0</v>
      </c>
      <c r="X49" s="170"/>
      <c r="Y49" s="171">
        <v>7500</v>
      </c>
      <c r="Z49" s="678"/>
      <c r="AA49" s="184">
        <v>39494</v>
      </c>
      <c r="AB49" s="638" t="s">
        <v>244</v>
      </c>
      <c r="AC49" s="577" t="s">
        <v>343</v>
      </c>
      <c r="AF49" s="849"/>
      <c r="AG49" s="695"/>
      <c r="AH49" s="695"/>
      <c r="AI49" s="695"/>
      <c r="AJ49" s="696"/>
      <c r="AK49" s="695" t="s">
        <v>498</v>
      </c>
      <c r="AL49" s="695"/>
      <c r="AM49" s="695"/>
    </row>
    <row r="50" spans="22:39" ht="15" customHeight="1" x14ac:dyDescent="0.2">
      <c r="V50" s="173" t="s">
        <v>499</v>
      </c>
      <c r="W50" s="175">
        <v>0</v>
      </c>
      <c r="X50" s="170"/>
      <c r="Y50" s="171">
        <v>7500</v>
      </c>
      <c r="Z50" s="678"/>
      <c r="AA50" s="184">
        <v>39494</v>
      </c>
      <c r="AB50" s="638" t="s">
        <v>244</v>
      </c>
      <c r="AC50" s="577" t="s">
        <v>343</v>
      </c>
      <c r="AF50" s="850"/>
      <c r="AG50" s="695"/>
      <c r="AH50" s="695"/>
      <c r="AI50" s="695"/>
      <c r="AJ50" s="696"/>
      <c r="AK50" s="695" t="s">
        <v>500</v>
      </c>
      <c r="AL50" s="695"/>
      <c r="AM50" s="695"/>
    </row>
    <row r="51" spans="22:39" ht="15" customHeight="1" x14ac:dyDescent="0.2">
      <c r="V51" s="173" t="s">
        <v>501</v>
      </c>
      <c r="W51" s="175">
        <v>0</v>
      </c>
      <c r="X51" s="170"/>
      <c r="Y51" s="171">
        <v>7717</v>
      </c>
      <c r="Z51" s="678"/>
      <c r="AA51" s="184">
        <v>39199</v>
      </c>
      <c r="AB51" s="638"/>
      <c r="AC51" s="577" t="s">
        <v>343</v>
      </c>
      <c r="AF51" s="869" t="s">
        <v>335</v>
      </c>
      <c r="AG51" s="695"/>
      <c r="AH51" s="696" t="s">
        <v>502</v>
      </c>
      <c r="AI51" s="696" t="s">
        <v>503</v>
      </c>
      <c r="AJ51" s="696" t="s">
        <v>504</v>
      </c>
      <c r="AK51" s="696" t="s">
        <v>505</v>
      </c>
      <c r="AL51" s="695" t="s">
        <v>250</v>
      </c>
      <c r="AM51" s="696" t="s">
        <v>506</v>
      </c>
    </row>
    <row r="52" spans="22:39" ht="15" customHeight="1" x14ac:dyDescent="0.2">
      <c r="V52" s="173" t="s">
        <v>507</v>
      </c>
      <c r="W52" s="175">
        <v>269</v>
      </c>
      <c r="X52" s="170">
        <v>24</v>
      </c>
      <c r="Y52" s="171">
        <v>8650</v>
      </c>
      <c r="Z52" s="678"/>
      <c r="AA52" s="184">
        <v>39486</v>
      </c>
      <c r="AB52" s="638"/>
      <c r="AC52" s="577" t="s">
        <v>238</v>
      </c>
      <c r="AF52" s="870"/>
      <c r="AG52" s="695"/>
      <c r="AH52" s="696" t="s">
        <v>508</v>
      </c>
      <c r="AI52" s="695"/>
      <c r="AJ52" s="696" t="s">
        <v>509</v>
      </c>
      <c r="AK52" s="696" t="s">
        <v>510</v>
      </c>
      <c r="AL52" s="695"/>
      <c r="AM52" s="695" t="s">
        <v>511</v>
      </c>
    </row>
    <row r="53" spans="22:39" ht="15" customHeight="1" x14ac:dyDescent="0.2">
      <c r="V53" s="173" t="s">
        <v>512</v>
      </c>
      <c r="W53" s="175">
        <v>231</v>
      </c>
      <c r="X53" s="170">
        <v>24</v>
      </c>
      <c r="Y53" s="171">
        <v>8650</v>
      </c>
      <c r="Z53" s="678"/>
      <c r="AA53" s="184">
        <v>39486</v>
      </c>
      <c r="AB53" s="638"/>
      <c r="AC53" s="577" t="s">
        <v>238</v>
      </c>
      <c r="AF53" s="870"/>
      <c r="AG53" s="695"/>
      <c r="AH53" s="696"/>
      <c r="AI53" s="695"/>
      <c r="AJ53" s="696" t="s">
        <v>513</v>
      </c>
      <c r="AK53" s="696"/>
      <c r="AL53" s="695"/>
      <c r="AM53" s="695" t="s">
        <v>514</v>
      </c>
    </row>
    <row r="54" spans="22:39" ht="15" customHeight="1" x14ac:dyDescent="0.2">
      <c r="V54" s="173" t="s">
        <v>515</v>
      </c>
      <c r="W54" s="175">
        <v>0</v>
      </c>
      <c r="X54" s="170"/>
      <c r="Y54" s="637">
        <v>7419</v>
      </c>
      <c r="Z54" s="764"/>
      <c r="AA54" s="636">
        <v>34132</v>
      </c>
      <c r="AB54" s="638" t="s">
        <v>244</v>
      </c>
      <c r="AC54" s="577" t="s">
        <v>238</v>
      </c>
      <c r="AF54" s="870"/>
      <c r="AG54" s="695"/>
      <c r="AH54" s="695"/>
      <c r="AI54" s="695"/>
      <c r="AJ54" s="696" t="s">
        <v>516</v>
      </c>
      <c r="AK54" s="695"/>
      <c r="AL54" s="695"/>
      <c r="AM54" s="695" t="s">
        <v>261</v>
      </c>
    </row>
    <row r="55" spans="22:39" ht="15" customHeight="1" x14ac:dyDescent="0.2">
      <c r="V55" s="173" t="s">
        <v>517</v>
      </c>
      <c r="W55" s="175">
        <v>0</v>
      </c>
      <c r="X55" s="170"/>
      <c r="Y55" s="637">
        <v>2780</v>
      </c>
      <c r="Z55" s="764"/>
      <c r="AA55" s="184"/>
      <c r="AB55" s="638"/>
      <c r="AC55" s="577" t="s">
        <v>238</v>
      </c>
      <c r="AF55" s="871"/>
      <c r="AG55" s="695"/>
      <c r="AH55" s="695"/>
      <c r="AI55" s="695"/>
      <c r="AJ55" s="696" t="s">
        <v>518</v>
      </c>
      <c r="AK55" s="695"/>
      <c r="AL55" s="695"/>
      <c r="AM55" s="695"/>
    </row>
    <row r="56" spans="22:39" ht="15" customHeight="1" x14ac:dyDescent="0.2">
      <c r="V56" s="173" t="s">
        <v>519</v>
      </c>
      <c r="W56" s="175">
        <v>0</v>
      </c>
      <c r="X56" s="170"/>
      <c r="Y56" s="637">
        <v>2780</v>
      </c>
      <c r="Z56" s="764"/>
      <c r="AA56" s="184"/>
      <c r="AB56" s="638"/>
      <c r="AC56" s="577" t="s">
        <v>238</v>
      </c>
      <c r="AF56" s="848" t="s">
        <v>343</v>
      </c>
      <c r="AG56" s="698"/>
      <c r="AH56" s="696" t="s">
        <v>520</v>
      </c>
      <c r="AI56" s="696" t="s">
        <v>521</v>
      </c>
      <c r="AJ56" s="696" t="s">
        <v>522</v>
      </c>
      <c r="AK56" s="696" t="s">
        <v>523</v>
      </c>
      <c r="AL56" s="695" t="s">
        <v>250</v>
      </c>
      <c r="AM56" s="696" t="s">
        <v>506</v>
      </c>
    </row>
    <row r="57" spans="22:39" ht="15" customHeight="1" x14ac:dyDescent="0.2">
      <c r="V57" s="173" t="s">
        <v>524</v>
      </c>
      <c r="W57" s="175">
        <v>0</v>
      </c>
      <c r="X57" s="170"/>
      <c r="Y57" s="637">
        <v>2780</v>
      </c>
      <c r="Z57" s="764"/>
      <c r="AA57" s="184"/>
      <c r="AB57" s="638"/>
      <c r="AC57" s="577" t="s">
        <v>238</v>
      </c>
      <c r="AF57" s="849"/>
      <c r="AG57" s="695"/>
      <c r="AH57" s="696" t="s">
        <v>525</v>
      </c>
      <c r="AI57" s="695"/>
      <c r="AJ57" s="696" t="s">
        <v>526</v>
      </c>
      <c r="AK57" s="696" t="s">
        <v>527</v>
      </c>
      <c r="AL57" s="696"/>
      <c r="AM57" s="695" t="s">
        <v>528</v>
      </c>
    </row>
    <row r="58" spans="22:39" ht="15" customHeight="1" x14ac:dyDescent="0.2">
      <c r="V58" s="173" t="s">
        <v>529</v>
      </c>
      <c r="W58" s="175">
        <v>0</v>
      </c>
      <c r="X58" s="170"/>
      <c r="Y58" s="171">
        <v>7340</v>
      </c>
      <c r="Z58" s="678"/>
      <c r="AA58" s="184">
        <v>38206</v>
      </c>
      <c r="AB58" s="638" t="s">
        <v>244</v>
      </c>
      <c r="AC58" s="577" t="s">
        <v>272</v>
      </c>
      <c r="AF58" s="849"/>
      <c r="AG58" s="695"/>
      <c r="AH58" s="696" t="s">
        <v>530</v>
      </c>
      <c r="AI58" s="695"/>
      <c r="AJ58" s="696" t="s">
        <v>531</v>
      </c>
      <c r="AK58" s="696" t="s">
        <v>532</v>
      </c>
      <c r="AL58" s="696"/>
      <c r="AM58" s="696" t="s">
        <v>533</v>
      </c>
    </row>
    <row r="59" spans="22:39" ht="15" customHeight="1" x14ac:dyDescent="0.2">
      <c r="V59" s="173" t="s">
        <v>534</v>
      </c>
      <c r="W59" s="175">
        <v>190</v>
      </c>
      <c r="X59" s="170">
        <v>20</v>
      </c>
      <c r="Y59" s="748">
        <v>7340</v>
      </c>
      <c r="Z59" s="763"/>
      <c r="AA59" s="184">
        <v>38206</v>
      </c>
      <c r="AB59" s="638"/>
      <c r="AC59" s="577" t="s">
        <v>272</v>
      </c>
      <c r="AF59" s="849"/>
      <c r="AG59" s="695"/>
      <c r="AH59" s="696" t="s">
        <v>535</v>
      </c>
      <c r="AI59" s="695"/>
      <c r="AJ59" s="696" t="s">
        <v>536</v>
      </c>
      <c r="AK59" s="696" t="s">
        <v>537</v>
      </c>
      <c r="AL59" s="695"/>
      <c r="AM59" s="695"/>
    </row>
    <row r="60" spans="22:39" ht="15" customHeight="1" x14ac:dyDescent="0.2">
      <c r="V60" s="173" t="s">
        <v>538</v>
      </c>
      <c r="W60" s="175">
        <f>398.9</f>
        <v>398.9</v>
      </c>
      <c r="X60" s="170">
        <v>20</v>
      </c>
      <c r="Y60" s="748">
        <v>7340</v>
      </c>
      <c r="Z60" s="763"/>
      <c r="AA60" s="184">
        <v>38206</v>
      </c>
      <c r="AB60" s="638"/>
      <c r="AC60" s="577" t="s">
        <v>272</v>
      </c>
      <c r="AF60" s="849"/>
      <c r="AG60" s="695"/>
      <c r="AH60" s="696"/>
      <c r="AI60" s="695"/>
      <c r="AJ60" s="696" t="s">
        <v>539</v>
      </c>
      <c r="AK60" s="696" t="s">
        <v>540</v>
      </c>
      <c r="AL60" s="695"/>
      <c r="AM60" s="695"/>
    </row>
    <row r="61" spans="22:39" ht="15" customHeight="1" x14ac:dyDescent="0.2">
      <c r="V61" s="173" t="s">
        <v>541</v>
      </c>
      <c r="W61" s="175">
        <v>362.5</v>
      </c>
      <c r="X61" s="170"/>
      <c r="Y61" s="171">
        <v>7950</v>
      </c>
      <c r="Z61" s="678"/>
      <c r="AA61" s="636">
        <v>38159</v>
      </c>
      <c r="AB61" s="638" t="s">
        <v>244</v>
      </c>
      <c r="AC61" s="577" t="s">
        <v>272</v>
      </c>
      <c r="AF61" s="849"/>
      <c r="AG61" s="695"/>
      <c r="AH61" s="696"/>
      <c r="AI61" s="695"/>
      <c r="AJ61" s="696" t="s">
        <v>542</v>
      </c>
      <c r="AK61" s="696"/>
      <c r="AL61" s="695"/>
      <c r="AM61" s="695"/>
    </row>
    <row r="62" spans="22:39" ht="15" customHeight="1" x14ac:dyDescent="0.2">
      <c r="V62" s="173" t="s">
        <v>543</v>
      </c>
      <c r="W62" s="175">
        <v>0</v>
      </c>
      <c r="X62" s="170"/>
      <c r="Y62" s="171">
        <v>800</v>
      </c>
      <c r="Z62" s="678"/>
      <c r="AA62" s="184"/>
      <c r="AB62" s="638"/>
      <c r="AC62" s="577" t="s">
        <v>272</v>
      </c>
      <c r="AF62" s="849"/>
      <c r="AG62" s="695"/>
      <c r="AH62" s="696"/>
      <c r="AI62" s="695"/>
      <c r="AJ62" s="697" t="s">
        <v>544</v>
      </c>
      <c r="AK62" s="696"/>
      <c r="AL62" s="695"/>
      <c r="AM62" s="695"/>
    </row>
    <row r="63" spans="22:39" ht="15" customHeight="1" x14ac:dyDescent="0.2">
      <c r="V63" s="173" t="s">
        <v>545</v>
      </c>
      <c r="W63" s="175">
        <v>0</v>
      </c>
      <c r="X63" s="170">
        <v>20</v>
      </c>
      <c r="Y63" s="171">
        <v>8000</v>
      </c>
      <c r="Z63" s="678"/>
      <c r="AA63" s="184">
        <v>38160</v>
      </c>
      <c r="AB63" s="638"/>
      <c r="AC63" s="577" t="s">
        <v>290</v>
      </c>
      <c r="AF63" s="850"/>
      <c r="AG63" s="695"/>
      <c r="AH63" s="696"/>
      <c r="AI63" s="695"/>
      <c r="AJ63" s="696" t="s">
        <v>518</v>
      </c>
      <c r="AK63" s="695"/>
      <c r="AL63" s="695"/>
      <c r="AM63" s="695"/>
    </row>
    <row r="64" spans="22:39" ht="15" customHeight="1" x14ac:dyDescent="0.2">
      <c r="V64" s="173" t="s">
        <v>546</v>
      </c>
      <c r="W64" s="175">
        <v>0</v>
      </c>
      <c r="X64" s="170">
        <v>15</v>
      </c>
      <c r="Y64" s="171">
        <v>8000</v>
      </c>
      <c r="Z64" s="678"/>
      <c r="AA64" s="184">
        <v>38160</v>
      </c>
      <c r="AB64" s="638"/>
      <c r="AC64" s="577" t="s">
        <v>290</v>
      </c>
      <c r="AF64" s="759"/>
      <c r="AG64" s="695"/>
      <c r="AH64" s="696"/>
      <c r="AI64" s="695"/>
      <c r="AJ64" s="696"/>
      <c r="AK64" s="695"/>
      <c r="AL64" s="695"/>
      <c r="AM64" s="761"/>
    </row>
    <row r="65" spans="2:39" ht="15" customHeight="1" x14ac:dyDescent="0.25">
      <c r="V65" s="760" t="s">
        <v>547</v>
      </c>
      <c r="W65" s="175">
        <v>0</v>
      </c>
      <c r="X65" s="170">
        <v>15</v>
      </c>
      <c r="Y65" s="637">
        <v>7729</v>
      </c>
      <c r="Z65" s="764"/>
      <c r="AA65" s="636">
        <v>38544</v>
      </c>
      <c r="AB65" s="638"/>
      <c r="AC65" s="577" t="s">
        <v>290</v>
      </c>
      <c r="AF65" s="848" t="s">
        <v>258</v>
      </c>
      <c r="AG65" s="695"/>
      <c r="AH65" s="696" t="s">
        <v>548</v>
      </c>
      <c r="AI65" s="696" t="s">
        <v>549</v>
      </c>
      <c r="AJ65" s="704" t="s">
        <v>550</v>
      </c>
      <c r="AK65" s="704" t="s">
        <v>551</v>
      </c>
      <c r="AL65" s="695" t="s">
        <v>250</v>
      </c>
      <c r="AM65" s="706" t="s">
        <v>506</v>
      </c>
    </row>
    <row r="66" spans="2:39" ht="15" customHeight="1" x14ac:dyDescent="0.25">
      <c r="V66" s="172" t="s">
        <v>552</v>
      </c>
      <c r="W66" s="175">
        <v>0</v>
      </c>
      <c r="X66" s="170">
        <v>40</v>
      </c>
      <c r="Y66" s="171">
        <v>10200</v>
      </c>
      <c r="Z66" s="678"/>
      <c r="AA66" s="183">
        <v>38542</v>
      </c>
      <c r="AB66" s="638"/>
      <c r="AC66" s="577" t="s">
        <v>258</v>
      </c>
      <c r="AF66" s="849"/>
      <c r="AG66" s="695"/>
      <c r="AH66" s="696"/>
      <c r="AI66" s="696" t="s">
        <v>553</v>
      </c>
      <c r="AJ66" s="704" t="s">
        <v>554</v>
      </c>
      <c r="AK66" s="696"/>
      <c r="AL66" s="706"/>
      <c r="AM66" s="706"/>
    </row>
    <row r="67" spans="2:39" ht="15" customHeight="1" x14ac:dyDescent="0.25">
      <c r="V67" s="172" t="s">
        <v>555</v>
      </c>
      <c r="W67" s="175">
        <v>0</v>
      </c>
      <c r="X67" s="170">
        <v>40</v>
      </c>
      <c r="Y67" s="171">
        <v>10200</v>
      </c>
      <c r="Z67" s="678"/>
      <c r="AA67" s="183">
        <v>38542</v>
      </c>
      <c r="AB67" s="638"/>
      <c r="AC67" s="577" t="s">
        <v>258</v>
      </c>
      <c r="AF67" s="849"/>
      <c r="AG67" s="695"/>
      <c r="AH67" s="699"/>
      <c r="AI67" s="695"/>
      <c r="AJ67" s="704" t="s">
        <v>556</v>
      </c>
      <c r="AK67" s="695"/>
      <c r="AL67" s="695"/>
      <c r="AM67" s="695"/>
    </row>
    <row r="68" spans="2:39" ht="15" customHeight="1" x14ac:dyDescent="0.25">
      <c r="V68" s="173" t="s">
        <v>557</v>
      </c>
      <c r="W68" s="175">
        <v>0</v>
      </c>
      <c r="X68" s="170">
        <v>25</v>
      </c>
      <c r="Y68" s="171">
        <v>10200</v>
      </c>
      <c r="Z68" s="678"/>
      <c r="AA68" s="184">
        <v>38542</v>
      </c>
      <c r="AB68" s="638"/>
      <c r="AC68" s="577" t="s">
        <v>258</v>
      </c>
      <c r="AF68" s="849"/>
      <c r="AG68" s="695"/>
      <c r="AH68" s="699"/>
      <c r="AI68" s="695"/>
      <c r="AJ68" s="704" t="s">
        <v>558</v>
      </c>
      <c r="AK68" s="695"/>
      <c r="AL68" s="695"/>
      <c r="AM68" s="695"/>
    </row>
    <row r="69" spans="2:39" ht="15" customHeight="1" x14ac:dyDescent="0.25">
      <c r="V69" s="173" t="s">
        <v>559</v>
      </c>
      <c r="W69" s="175">
        <v>383</v>
      </c>
      <c r="X69" s="170">
        <f>19+3</f>
        <v>22</v>
      </c>
      <c r="Y69" s="171">
        <v>7532</v>
      </c>
      <c r="Z69" s="678"/>
      <c r="AA69" s="184">
        <v>38297</v>
      </c>
      <c r="AB69" s="638"/>
      <c r="AC69" s="577" t="s">
        <v>258</v>
      </c>
      <c r="AF69" s="849"/>
      <c r="AG69" s="695"/>
      <c r="AH69" s="695"/>
      <c r="AI69" s="695"/>
      <c r="AJ69" s="704" t="s">
        <v>560</v>
      </c>
      <c r="AK69" s="695"/>
      <c r="AL69" s="695"/>
      <c r="AM69" s="695"/>
    </row>
    <row r="70" spans="2:39" ht="15" customHeight="1" x14ac:dyDescent="0.25">
      <c r="V70" s="173" t="s">
        <v>561</v>
      </c>
      <c r="W70" s="175">
        <v>0</v>
      </c>
      <c r="X70" s="170">
        <v>25</v>
      </c>
      <c r="Y70" s="748">
        <v>7308</v>
      </c>
      <c r="Z70" s="763"/>
      <c r="AA70" s="184">
        <v>38298</v>
      </c>
      <c r="AB70" s="638"/>
      <c r="AC70" s="577" t="s">
        <v>258</v>
      </c>
      <c r="AF70" s="849"/>
      <c r="AG70" s="695"/>
      <c r="AH70" s="695"/>
      <c r="AI70" s="695"/>
      <c r="AJ70" s="704" t="s">
        <v>562</v>
      </c>
      <c r="AK70" s="695"/>
      <c r="AL70" s="695"/>
      <c r="AM70" s="695"/>
    </row>
    <row r="71" spans="2:39" ht="15" customHeight="1" x14ac:dyDescent="0.25">
      <c r="V71" s="173" t="s">
        <v>563</v>
      </c>
      <c r="W71" s="175">
        <v>0</v>
      </c>
      <c r="X71" s="170">
        <v>22</v>
      </c>
      <c r="Y71" s="171">
        <v>8500</v>
      </c>
      <c r="Z71" s="678"/>
      <c r="AA71" s="184">
        <v>38299</v>
      </c>
      <c r="AB71" s="638"/>
      <c r="AC71" s="577" t="s">
        <v>258</v>
      </c>
      <c r="AF71" s="849"/>
      <c r="AG71" s="695"/>
      <c r="AH71" s="695"/>
      <c r="AI71" s="695"/>
      <c r="AJ71" s="704" t="s">
        <v>564</v>
      </c>
      <c r="AK71" s="695"/>
      <c r="AL71" s="695"/>
      <c r="AM71" s="695"/>
    </row>
    <row r="72" spans="2:39" ht="15" customHeight="1" x14ac:dyDescent="0.25">
      <c r="V72" s="173" t="s">
        <v>565</v>
      </c>
      <c r="W72" s="175">
        <v>0</v>
      </c>
      <c r="X72" s="170">
        <v>15</v>
      </c>
      <c r="Y72" s="171">
        <v>8500</v>
      </c>
      <c r="Z72" s="678"/>
      <c r="AA72" s="184">
        <v>38299</v>
      </c>
      <c r="AB72" s="638"/>
      <c r="AC72" s="577" t="s">
        <v>258</v>
      </c>
      <c r="AF72" s="849"/>
      <c r="AG72" s="695"/>
      <c r="AH72" s="695"/>
      <c r="AI72" s="695"/>
      <c r="AJ72" s="704" t="s">
        <v>566</v>
      </c>
      <c r="AK72" s="695"/>
      <c r="AL72" s="695"/>
      <c r="AM72" s="695"/>
    </row>
    <row r="73" spans="2:39" ht="15" customHeight="1" x14ac:dyDescent="0.25">
      <c r="V73" s="173" t="s">
        <v>567</v>
      </c>
      <c r="W73" s="175">
        <v>0</v>
      </c>
      <c r="X73" s="170"/>
      <c r="Y73" s="171">
        <v>2780</v>
      </c>
      <c r="Z73" s="678"/>
      <c r="AA73" s="184"/>
      <c r="AB73" s="638"/>
      <c r="AC73" s="577" t="s">
        <v>258</v>
      </c>
      <c r="AF73" s="849"/>
      <c r="AG73" s="695"/>
      <c r="AH73" s="695"/>
      <c r="AI73" s="695"/>
      <c r="AJ73" s="704" t="s">
        <v>568</v>
      </c>
      <c r="AK73" s="695"/>
      <c r="AL73" s="695"/>
      <c r="AM73" s="695"/>
    </row>
    <row r="74" spans="2:39" ht="15" customHeight="1" x14ac:dyDescent="0.2">
      <c r="V74" s="173" t="s">
        <v>569</v>
      </c>
      <c r="W74" s="175">
        <v>171</v>
      </c>
      <c r="X74" s="170">
        <v>10</v>
      </c>
      <c r="Y74" s="171">
        <v>6852</v>
      </c>
      <c r="Z74" s="678"/>
      <c r="AA74" s="184">
        <v>40717</v>
      </c>
      <c r="AB74" s="638"/>
      <c r="AC74" s="577" t="s">
        <v>407</v>
      </c>
      <c r="AF74" s="850"/>
      <c r="AG74" s="700"/>
      <c r="AH74" s="695"/>
      <c r="AI74" s="695"/>
      <c r="AJ74" s="696" t="s">
        <v>518</v>
      </c>
      <c r="AK74" s="695"/>
      <c r="AL74" s="695"/>
      <c r="AM74" s="695"/>
    </row>
    <row r="75" spans="2:39" ht="15" customHeight="1" x14ac:dyDescent="0.25">
      <c r="V75" s="173" t="s">
        <v>570</v>
      </c>
      <c r="W75" s="175">
        <v>554</v>
      </c>
      <c r="X75" s="170">
        <v>24</v>
      </c>
      <c r="Y75" s="171">
        <v>7571</v>
      </c>
      <c r="Z75" s="678"/>
      <c r="AA75" s="184">
        <v>39281</v>
      </c>
      <c r="AB75" s="638"/>
      <c r="AC75" s="577" t="s">
        <v>407</v>
      </c>
      <c r="AF75" s="848" t="s">
        <v>407</v>
      </c>
      <c r="AG75" s="700"/>
      <c r="AH75" s="696" t="s">
        <v>571</v>
      </c>
      <c r="AI75" s="696" t="s">
        <v>572</v>
      </c>
      <c r="AJ75" s="704" t="s">
        <v>573</v>
      </c>
      <c r="AK75" s="696" t="s">
        <v>574</v>
      </c>
      <c r="AL75" s="695" t="s">
        <v>250</v>
      </c>
      <c r="AM75" s="706" t="s">
        <v>506</v>
      </c>
    </row>
    <row r="76" spans="2:39" ht="15" customHeight="1" x14ac:dyDescent="0.25">
      <c r="B76" s="676"/>
      <c r="C76" s="676"/>
      <c r="D76" s="676"/>
      <c r="E76" s="676"/>
      <c r="F76" s="676"/>
      <c r="G76" s="676"/>
      <c r="I76" s="676"/>
      <c r="J76" s="676"/>
      <c r="L76" s="676"/>
      <c r="M76" s="676"/>
      <c r="V76" s="173" t="s">
        <v>575</v>
      </c>
      <c r="W76" s="175">
        <v>0</v>
      </c>
      <c r="X76" s="170">
        <v>11</v>
      </c>
      <c r="Y76" s="171">
        <v>7571</v>
      </c>
      <c r="Z76" s="678"/>
      <c r="AA76" s="184">
        <v>39281</v>
      </c>
      <c r="AB76" s="638"/>
      <c r="AC76" s="577" t="s">
        <v>407</v>
      </c>
      <c r="AF76" s="849"/>
      <c r="AG76" s="700"/>
      <c r="AH76" s="696" t="s">
        <v>576</v>
      </c>
      <c r="AI76" s="696" t="s">
        <v>577</v>
      </c>
      <c r="AJ76" s="704" t="s">
        <v>578</v>
      </c>
      <c r="AK76" s="696" t="s">
        <v>579</v>
      </c>
      <c r="AL76" s="706"/>
      <c r="AM76" s="695" t="s">
        <v>528</v>
      </c>
    </row>
    <row r="77" spans="2:39" s="676" customFormat="1" ht="15" customHeight="1" x14ac:dyDescent="0.25">
      <c r="T77" s="1"/>
      <c r="V77" s="173" t="s">
        <v>580</v>
      </c>
      <c r="W77" s="175">
        <v>0</v>
      </c>
      <c r="X77" s="170">
        <v>11</v>
      </c>
      <c r="Y77" s="171">
        <v>7571</v>
      </c>
      <c r="Z77" s="678"/>
      <c r="AA77" s="184">
        <v>39281</v>
      </c>
      <c r="AB77" s="638"/>
      <c r="AC77" s="577" t="s">
        <v>407</v>
      </c>
      <c r="AF77" s="849"/>
      <c r="AG77" s="700"/>
      <c r="AH77" s="696" t="s">
        <v>581</v>
      </c>
      <c r="AI77" s="704" t="s">
        <v>582</v>
      </c>
      <c r="AJ77" s="704" t="s">
        <v>583</v>
      </c>
      <c r="AK77" s="695" t="s">
        <v>584</v>
      </c>
      <c r="AL77" s="695"/>
      <c r="AM77" s="695"/>
    </row>
    <row r="78" spans="2:39" s="676" customFormat="1" ht="15" customHeight="1" x14ac:dyDescent="0.25">
      <c r="V78" s="173" t="s">
        <v>585</v>
      </c>
      <c r="W78" s="175">
        <v>0</v>
      </c>
      <c r="X78" s="170">
        <v>2</v>
      </c>
      <c r="Y78" s="171">
        <v>7571</v>
      </c>
      <c r="Z78" s="678"/>
      <c r="AA78" s="184">
        <v>39281</v>
      </c>
      <c r="AB78" s="638"/>
      <c r="AC78" s="577" t="s">
        <v>407</v>
      </c>
      <c r="AF78" s="849"/>
      <c r="AG78" s="700"/>
      <c r="AH78" s="696"/>
      <c r="AI78" s="696" t="s">
        <v>586</v>
      </c>
      <c r="AJ78" s="704" t="s">
        <v>587</v>
      </c>
      <c r="AK78" s="695"/>
      <c r="AL78" s="695"/>
      <c r="AM78" s="695"/>
    </row>
    <row r="79" spans="2:39" s="676" customFormat="1" ht="15" customHeight="1" x14ac:dyDescent="0.25">
      <c r="B79" s="1"/>
      <c r="C79" s="1"/>
      <c r="D79" s="1"/>
      <c r="E79" s="1"/>
      <c r="F79" s="1"/>
      <c r="G79" s="1"/>
      <c r="I79" s="1"/>
      <c r="J79" s="1"/>
      <c r="L79" s="1"/>
      <c r="M79" s="1"/>
      <c r="V79" s="173" t="s">
        <v>588</v>
      </c>
      <c r="W79" s="175">
        <v>0</v>
      </c>
      <c r="X79" s="170">
        <v>15</v>
      </c>
      <c r="Y79" s="171">
        <v>7571</v>
      </c>
      <c r="Z79" s="678"/>
      <c r="AA79" s="184">
        <v>39281</v>
      </c>
      <c r="AB79" s="638"/>
      <c r="AC79" s="577" t="s">
        <v>407</v>
      </c>
      <c r="AF79" s="849"/>
      <c r="AG79" s="700"/>
      <c r="AH79" s="696"/>
      <c r="AI79" s="695"/>
      <c r="AJ79" s="704" t="s">
        <v>589</v>
      </c>
      <c r="AK79" s="695"/>
      <c r="AL79" s="695"/>
      <c r="AM79" s="695"/>
    </row>
    <row r="80" spans="2:39" ht="15" customHeight="1" x14ac:dyDescent="0.25">
      <c r="T80" s="676"/>
      <c r="V80" s="173" t="s">
        <v>590</v>
      </c>
      <c r="W80" s="175">
        <v>0</v>
      </c>
      <c r="X80" s="170">
        <v>16</v>
      </c>
      <c r="Y80" s="171">
        <v>7904</v>
      </c>
      <c r="Z80" s="678"/>
      <c r="AA80" s="184">
        <v>40019</v>
      </c>
      <c r="AB80" s="638"/>
      <c r="AC80" s="577" t="s">
        <v>407</v>
      </c>
      <c r="AF80" s="849"/>
      <c r="AG80" s="700"/>
      <c r="AH80" s="696"/>
      <c r="AI80" s="695"/>
      <c r="AJ80" s="704" t="s">
        <v>591</v>
      </c>
      <c r="AK80" s="695"/>
      <c r="AL80" s="695"/>
      <c r="AM80" s="695"/>
    </row>
    <row r="81" spans="22:39" ht="15" customHeight="1" x14ac:dyDescent="0.25">
      <c r="V81" s="173" t="s">
        <v>592</v>
      </c>
      <c r="W81" s="175">
        <v>0</v>
      </c>
      <c r="X81" s="170">
        <v>50</v>
      </c>
      <c r="Y81" s="171">
        <v>7470</v>
      </c>
      <c r="Z81" s="678"/>
      <c r="AA81" s="184">
        <v>39172</v>
      </c>
      <c r="AB81" s="638"/>
      <c r="AC81" s="577" t="s">
        <v>407</v>
      </c>
      <c r="AF81" s="849"/>
      <c r="AG81" s="700"/>
      <c r="AH81" s="695"/>
      <c r="AI81" s="695"/>
      <c r="AJ81" s="704" t="s">
        <v>593</v>
      </c>
      <c r="AK81" s="695"/>
      <c r="AL81" s="695"/>
      <c r="AM81" s="695"/>
    </row>
    <row r="82" spans="22:39" ht="15" customHeight="1" x14ac:dyDescent="0.25">
      <c r="V82" s="173" t="s">
        <v>594</v>
      </c>
      <c r="W82" s="175">
        <v>450</v>
      </c>
      <c r="X82" s="170">
        <v>25</v>
      </c>
      <c r="Y82" s="171"/>
      <c r="Z82" s="678"/>
      <c r="AA82" s="184"/>
      <c r="AB82" s="638"/>
      <c r="AC82" s="577" t="s">
        <v>326</v>
      </c>
      <c r="AF82" s="849"/>
      <c r="AG82" s="700"/>
      <c r="AH82" s="695"/>
      <c r="AI82" s="695"/>
      <c r="AJ82" s="704" t="s">
        <v>595</v>
      </c>
      <c r="AK82" s="695"/>
      <c r="AL82" s="695"/>
      <c r="AM82" s="695"/>
    </row>
    <row r="83" spans="22:39" ht="15" customHeight="1" x14ac:dyDescent="0.25">
      <c r="V83" s="173" t="s">
        <v>596</v>
      </c>
      <c r="W83" s="175">
        <v>0</v>
      </c>
      <c r="X83" s="170">
        <v>25</v>
      </c>
      <c r="Y83" s="171"/>
      <c r="Z83" s="678"/>
      <c r="AA83" s="184"/>
      <c r="AB83" s="638"/>
      <c r="AC83" s="577" t="s">
        <v>326</v>
      </c>
      <c r="AF83" s="849"/>
      <c r="AG83" s="700"/>
      <c r="AH83" s="695"/>
      <c r="AI83" s="695"/>
      <c r="AJ83" s="704" t="s">
        <v>597</v>
      </c>
      <c r="AK83" s="695"/>
      <c r="AL83" s="695"/>
      <c r="AM83" s="695"/>
    </row>
    <row r="84" spans="22:39" ht="15" customHeight="1" x14ac:dyDescent="0.25">
      <c r="V84" s="173" t="s">
        <v>598</v>
      </c>
      <c r="W84" s="175">
        <v>0</v>
      </c>
      <c r="X84" s="170">
        <v>25</v>
      </c>
      <c r="Y84" s="171"/>
      <c r="Z84" s="678"/>
      <c r="AA84" s="184"/>
      <c r="AB84" s="638"/>
      <c r="AC84" s="577" t="s">
        <v>326</v>
      </c>
      <c r="AF84" s="849"/>
      <c r="AG84" s="700"/>
      <c r="AH84" s="695"/>
      <c r="AI84" s="695"/>
      <c r="AJ84" s="704" t="s">
        <v>599</v>
      </c>
      <c r="AK84" s="695"/>
      <c r="AL84" s="695"/>
      <c r="AM84" s="695"/>
    </row>
    <row r="85" spans="22:39" ht="15" customHeight="1" x14ac:dyDescent="0.25">
      <c r="V85" s="173" t="s">
        <v>600</v>
      </c>
      <c r="W85" s="175">
        <v>0</v>
      </c>
      <c r="X85" s="170"/>
      <c r="Y85" s="171"/>
      <c r="Z85" s="678"/>
      <c r="AA85" s="184"/>
      <c r="AB85" s="638"/>
      <c r="AC85" s="577" t="s">
        <v>326</v>
      </c>
      <c r="AF85" s="849"/>
      <c r="AG85" s="700"/>
      <c r="AH85" s="695"/>
      <c r="AI85" s="695"/>
      <c r="AJ85" s="704" t="s">
        <v>601</v>
      </c>
      <c r="AK85" s="695"/>
      <c r="AL85" s="695"/>
      <c r="AM85" s="695"/>
    </row>
    <row r="86" spans="22:39" ht="15" customHeight="1" x14ac:dyDescent="0.25">
      <c r="V86" s="173" t="s">
        <v>602</v>
      </c>
      <c r="W86" s="679">
        <v>0</v>
      </c>
      <c r="X86" s="170"/>
      <c r="Y86" s="171"/>
      <c r="Z86" s="171"/>
      <c r="AA86" s="184"/>
      <c r="AB86" s="638"/>
      <c r="AC86" s="577" t="s">
        <v>326</v>
      </c>
      <c r="AF86" s="849"/>
      <c r="AG86" s="700"/>
      <c r="AH86" s="695"/>
      <c r="AI86" s="695"/>
      <c r="AJ86" s="704" t="s">
        <v>603</v>
      </c>
      <c r="AK86" s="695"/>
      <c r="AL86" s="695"/>
      <c r="AM86" s="695"/>
    </row>
    <row r="87" spans="22:39" ht="15" customHeight="1" x14ac:dyDescent="0.25">
      <c r="V87" s="173" t="s">
        <v>604</v>
      </c>
      <c r="W87" s="679">
        <v>0</v>
      </c>
      <c r="X87" s="170"/>
      <c r="Y87" s="637">
        <v>9633</v>
      </c>
      <c r="Z87" s="637">
        <v>9633</v>
      </c>
      <c r="AA87" s="184">
        <v>36880</v>
      </c>
      <c r="AB87" s="638"/>
      <c r="AC87" s="577" t="s">
        <v>343</v>
      </c>
      <c r="AF87" s="849"/>
      <c r="AG87" s="700"/>
      <c r="AH87" s="695"/>
      <c r="AI87" s="695"/>
      <c r="AJ87" s="704" t="s">
        <v>605</v>
      </c>
      <c r="AK87" s="695"/>
      <c r="AL87" s="695"/>
      <c r="AM87" s="695"/>
    </row>
    <row r="88" spans="22:39" ht="15" customHeight="1" x14ac:dyDescent="0.25">
      <c r="V88" s="173" t="s">
        <v>606</v>
      </c>
      <c r="W88" s="679">
        <v>0</v>
      </c>
      <c r="X88" s="170"/>
      <c r="Y88" s="171">
        <v>950</v>
      </c>
      <c r="Z88" s="171">
        <v>950</v>
      </c>
      <c r="AA88" s="184"/>
      <c r="AB88" s="638"/>
      <c r="AC88" s="577" t="s">
        <v>343</v>
      </c>
      <c r="AF88" s="849"/>
      <c r="AG88" s="700"/>
      <c r="AH88" s="695"/>
      <c r="AI88" s="695"/>
      <c r="AJ88" s="704" t="s">
        <v>607</v>
      </c>
      <c r="AK88" s="695"/>
      <c r="AL88" s="695"/>
      <c r="AM88" s="695"/>
    </row>
    <row r="89" spans="22:39" ht="15" customHeight="1" x14ac:dyDescent="0.2">
      <c r="V89" s="173" t="s">
        <v>608</v>
      </c>
      <c r="W89" s="679">
        <v>0</v>
      </c>
      <c r="X89" s="170"/>
      <c r="Y89" s="171">
        <v>1500</v>
      </c>
      <c r="Z89" s="171">
        <v>1500</v>
      </c>
      <c r="AA89" s="184"/>
      <c r="AB89" s="638"/>
      <c r="AC89" s="577" t="s">
        <v>343</v>
      </c>
      <c r="AF89" s="850"/>
      <c r="AG89" s="701"/>
      <c r="AH89" s="701"/>
      <c r="AI89" s="701"/>
      <c r="AJ89" s="696" t="s">
        <v>518</v>
      </c>
      <c r="AK89" s="701"/>
      <c r="AL89" s="701"/>
      <c r="AM89" s="701"/>
    </row>
    <row r="90" spans="22:39" ht="15" customHeight="1" x14ac:dyDescent="0.25">
      <c r="V90" s="173" t="s">
        <v>609</v>
      </c>
      <c r="W90" s="679">
        <v>0</v>
      </c>
      <c r="X90" s="170"/>
      <c r="Y90" s="171">
        <v>450</v>
      </c>
      <c r="Z90" s="171">
        <v>450</v>
      </c>
      <c r="AA90" s="184"/>
      <c r="AB90" s="638"/>
      <c r="AC90" s="577" t="s">
        <v>343</v>
      </c>
      <c r="AF90" s="6" t="s">
        <v>253</v>
      </c>
      <c r="AG90" s="701"/>
      <c r="AH90" s="701"/>
      <c r="AI90" s="701"/>
      <c r="AJ90" s="701"/>
      <c r="AK90" s="701" t="s">
        <v>540</v>
      </c>
      <c r="AL90" s="701"/>
      <c r="AM90" s="701"/>
    </row>
    <row r="91" spans="22:39" ht="15" customHeight="1" x14ac:dyDescent="0.25">
      <c r="V91" s="172" t="s">
        <v>610</v>
      </c>
      <c r="W91" s="680">
        <v>0</v>
      </c>
      <c r="X91" s="3"/>
      <c r="Y91" s="637">
        <v>3400</v>
      </c>
      <c r="Z91" s="637">
        <v>3400</v>
      </c>
      <c r="AA91" s="3"/>
      <c r="AB91" s="3"/>
      <c r="AC91" s="577" t="s">
        <v>279</v>
      </c>
      <c r="AF91" s="6" t="s">
        <v>301</v>
      </c>
      <c r="AG91" s="701"/>
      <c r="AH91" s="701"/>
      <c r="AI91" s="701"/>
      <c r="AJ91" s="701"/>
      <c r="AK91" s="701"/>
      <c r="AL91" s="701"/>
      <c r="AM91" s="701"/>
    </row>
    <row r="92" spans="22:39" ht="15" customHeight="1" x14ac:dyDescent="0.25">
      <c r="V92" s="172" t="s">
        <v>611</v>
      </c>
      <c r="W92" s="680">
        <v>0</v>
      </c>
      <c r="X92" s="3"/>
      <c r="Y92" s="171">
        <v>2165</v>
      </c>
      <c r="Z92" s="171">
        <v>2165</v>
      </c>
      <c r="AA92" s="3"/>
      <c r="AB92" s="3"/>
      <c r="AC92" s="577" t="s">
        <v>290</v>
      </c>
    </row>
    <row r="93" spans="22:39" ht="15" customHeight="1" x14ac:dyDescent="0.25">
      <c r="V93" s="172" t="s">
        <v>612</v>
      </c>
      <c r="W93" s="680">
        <v>0</v>
      </c>
      <c r="X93" s="3"/>
      <c r="Y93" s="171">
        <v>1245</v>
      </c>
      <c r="Z93" s="171">
        <v>1245</v>
      </c>
      <c r="AA93" s="3"/>
      <c r="AB93" s="3"/>
      <c r="AC93" s="577" t="s">
        <v>290</v>
      </c>
    </row>
    <row r="94" spans="22:39" ht="15" customHeight="1" x14ac:dyDescent="0.25">
      <c r="V94" s="172" t="s">
        <v>613</v>
      </c>
      <c r="W94" s="680">
        <v>0</v>
      </c>
      <c r="X94" s="3"/>
      <c r="Y94" s="171">
        <v>2490</v>
      </c>
      <c r="Z94" s="171">
        <v>2490</v>
      </c>
      <c r="AA94" s="3"/>
      <c r="AB94" s="3"/>
      <c r="AC94" s="577" t="s">
        <v>290</v>
      </c>
    </row>
    <row r="95" spans="22:39" ht="15" customHeight="1" x14ac:dyDescent="0.25">
      <c r="V95" s="172" t="s">
        <v>614</v>
      </c>
      <c r="W95" s="680">
        <v>0</v>
      </c>
      <c r="X95" s="3"/>
      <c r="Y95" s="171">
        <v>3700</v>
      </c>
      <c r="Z95" s="171">
        <v>3700</v>
      </c>
      <c r="AA95" s="3"/>
      <c r="AB95" s="3"/>
      <c r="AC95" s="577" t="s">
        <v>290</v>
      </c>
    </row>
    <row r="96" spans="22:39" ht="15" customHeight="1" x14ac:dyDescent="0.25">
      <c r="V96" s="674" t="s">
        <v>615</v>
      </c>
      <c r="W96" s="681">
        <v>0</v>
      </c>
      <c r="X96" s="675"/>
      <c r="Y96" s="171"/>
      <c r="Z96" s="171"/>
      <c r="AA96" s="675"/>
      <c r="AB96" s="675"/>
      <c r="AC96" s="677" t="s">
        <v>290</v>
      </c>
    </row>
    <row r="97" spans="22:29" ht="15" customHeight="1" x14ac:dyDescent="0.25">
      <c r="V97" s="172" t="s">
        <v>616</v>
      </c>
      <c r="W97" s="682">
        <v>0</v>
      </c>
      <c r="X97" s="4"/>
      <c r="Y97" s="171">
        <v>407</v>
      </c>
      <c r="Z97" s="171">
        <v>407</v>
      </c>
      <c r="AA97" s="4"/>
      <c r="AB97" s="4"/>
      <c r="AC97" s="577" t="s">
        <v>245</v>
      </c>
    </row>
    <row r="98" spans="22:29" ht="15" customHeight="1" x14ac:dyDescent="0.25">
      <c r="V98" s="172" t="s">
        <v>617</v>
      </c>
      <c r="W98" s="682">
        <v>0</v>
      </c>
      <c r="X98" s="4"/>
      <c r="Y98" s="171">
        <v>1575</v>
      </c>
      <c r="Z98" s="171">
        <v>1575</v>
      </c>
      <c r="AA98" s="4"/>
      <c r="AB98" s="4"/>
      <c r="AC98" s="577" t="s">
        <v>245</v>
      </c>
    </row>
    <row r="99" spans="22:29" ht="15" customHeight="1" x14ac:dyDescent="0.25">
      <c r="V99" s="172" t="s">
        <v>618</v>
      </c>
      <c r="W99" s="682">
        <v>0</v>
      </c>
      <c r="X99" s="4"/>
      <c r="Y99" s="171">
        <f>500+275*4</f>
        <v>1600</v>
      </c>
      <c r="Z99" s="171">
        <f>500+275*4</f>
        <v>1600</v>
      </c>
      <c r="AA99" s="4"/>
      <c r="AB99" s="4"/>
      <c r="AC99" s="577" t="s">
        <v>245</v>
      </c>
    </row>
    <row r="100" spans="22:29" ht="15" customHeight="1" x14ac:dyDescent="0.25">
      <c r="V100" s="172" t="s">
        <v>619</v>
      </c>
      <c r="W100" s="680">
        <v>0</v>
      </c>
      <c r="X100" s="3"/>
      <c r="Y100" s="171">
        <f>1320*2</f>
        <v>2640</v>
      </c>
      <c r="Z100" s="171">
        <f>1320*2</f>
        <v>2640</v>
      </c>
      <c r="AA100" s="3"/>
      <c r="AB100" s="3"/>
      <c r="AC100" s="577" t="s">
        <v>84</v>
      </c>
    </row>
    <row r="101" spans="22:29" ht="15" customHeight="1" x14ac:dyDescent="0.25">
      <c r="V101" s="762" t="s">
        <v>620</v>
      </c>
      <c r="W101" s="680">
        <v>0</v>
      </c>
      <c r="X101" s="3"/>
      <c r="Y101" s="171">
        <v>1000</v>
      </c>
      <c r="Z101" s="171">
        <v>1000</v>
      </c>
      <c r="AA101" s="3"/>
      <c r="AB101" s="3"/>
      <c r="AC101" s="577" t="s">
        <v>84</v>
      </c>
    </row>
    <row r="102" spans="22:29" ht="15" customHeight="1" x14ac:dyDescent="0.25">
      <c r="V102" s="172" t="s">
        <v>621</v>
      </c>
      <c r="W102" s="680">
        <v>0</v>
      </c>
      <c r="X102" s="3"/>
      <c r="Y102" s="171">
        <v>2750</v>
      </c>
      <c r="Z102" s="171">
        <v>2750</v>
      </c>
      <c r="AA102" s="3"/>
      <c r="AB102" s="3"/>
      <c r="AC102" s="577" t="s">
        <v>84</v>
      </c>
    </row>
    <row r="103" spans="22:29" ht="15" customHeight="1" x14ac:dyDescent="0.25">
      <c r="V103" s="762" t="s">
        <v>622</v>
      </c>
      <c r="W103" s="680">
        <v>0</v>
      </c>
      <c r="X103" s="3"/>
      <c r="Y103" s="637">
        <v>6038</v>
      </c>
      <c r="Z103" s="637">
        <v>6038</v>
      </c>
      <c r="AA103" s="3"/>
      <c r="AB103" s="3"/>
      <c r="AC103" s="577" t="s">
        <v>84</v>
      </c>
    </row>
    <row r="104" spans="22:29" ht="15" customHeight="1" x14ac:dyDescent="0.25">
      <c r="V104" s="172" t="s">
        <v>623</v>
      </c>
      <c r="W104" s="680">
        <v>0</v>
      </c>
      <c r="X104" s="3"/>
      <c r="Y104" s="171">
        <v>1120</v>
      </c>
      <c r="Z104" s="171">
        <v>1120</v>
      </c>
      <c r="AA104" s="3"/>
      <c r="AB104" s="3"/>
      <c r="AC104" s="577" t="s">
        <v>84</v>
      </c>
    </row>
    <row r="105" spans="22:29" ht="15" customHeight="1" x14ac:dyDescent="0.25">
      <c r="V105" s="172" t="s">
        <v>624</v>
      </c>
      <c r="W105" s="680">
        <v>0</v>
      </c>
      <c r="X105" s="3"/>
      <c r="Y105" s="171">
        <v>3150</v>
      </c>
      <c r="Z105" s="171">
        <v>3150</v>
      </c>
      <c r="AA105" s="3"/>
      <c r="AB105" s="3"/>
      <c r="AC105" s="577" t="s">
        <v>84</v>
      </c>
    </row>
    <row r="106" spans="22:29" ht="15" customHeight="1" x14ac:dyDescent="0.25">
      <c r="V106" s="172" t="s">
        <v>625</v>
      </c>
      <c r="W106" s="680">
        <v>0</v>
      </c>
      <c r="X106" s="3"/>
      <c r="Y106" s="171">
        <f>2500*2</f>
        <v>5000</v>
      </c>
      <c r="Z106" s="171">
        <f>2500*2</f>
        <v>5000</v>
      </c>
      <c r="AA106" s="3"/>
      <c r="AB106" s="3"/>
      <c r="AC106" s="577" t="s">
        <v>84</v>
      </c>
    </row>
    <row r="107" spans="22:29" ht="15" customHeight="1" x14ac:dyDescent="0.25">
      <c r="V107" s="172" t="s">
        <v>626</v>
      </c>
      <c r="W107" s="680">
        <v>0</v>
      </c>
      <c r="X107" s="3"/>
      <c r="Y107" s="171">
        <f>1270*2</f>
        <v>2540</v>
      </c>
      <c r="Z107" s="171">
        <f>1270*2</f>
        <v>2540</v>
      </c>
      <c r="AA107" s="3"/>
      <c r="AB107" s="3"/>
      <c r="AC107" s="577" t="s">
        <v>84</v>
      </c>
    </row>
    <row r="108" spans="22:29" ht="15" customHeight="1" x14ac:dyDescent="0.25">
      <c r="V108" s="172" t="s">
        <v>627</v>
      </c>
      <c r="W108" s="680">
        <v>0</v>
      </c>
      <c r="X108" s="3"/>
      <c r="Y108" s="171">
        <v>1300</v>
      </c>
      <c r="Z108" s="171">
        <v>1300</v>
      </c>
      <c r="AA108" s="3"/>
      <c r="AB108" s="3"/>
      <c r="AC108" s="577" t="s">
        <v>272</v>
      </c>
    </row>
    <row r="109" spans="22:29" ht="15" customHeight="1" x14ac:dyDescent="0.25">
      <c r="V109" s="172" t="s">
        <v>628</v>
      </c>
      <c r="W109" s="680">
        <v>0</v>
      </c>
      <c r="X109" s="3"/>
      <c r="Y109" s="171">
        <v>825</v>
      </c>
      <c r="Z109" s="171">
        <v>825</v>
      </c>
      <c r="AA109" s="3"/>
      <c r="AB109" s="3"/>
      <c r="AC109" s="577" t="s">
        <v>272</v>
      </c>
    </row>
    <row r="110" spans="22:29" ht="15" customHeight="1" x14ac:dyDescent="0.25">
      <c r="V110" s="172" t="s">
        <v>629</v>
      </c>
      <c r="W110" s="680">
        <v>0</v>
      </c>
      <c r="X110" s="3"/>
      <c r="Y110" s="171">
        <v>600</v>
      </c>
      <c r="Z110" s="171">
        <v>600</v>
      </c>
      <c r="AA110" s="3"/>
      <c r="AB110" s="3"/>
      <c r="AC110" s="577" t="s">
        <v>272</v>
      </c>
    </row>
    <row r="111" spans="22:29" ht="15" customHeight="1" x14ac:dyDescent="0.25">
      <c r="V111" s="172" t="s">
        <v>630</v>
      </c>
      <c r="W111" s="680">
        <v>0</v>
      </c>
      <c r="X111" s="3"/>
      <c r="Y111" s="171">
        <v>2165</v>
      </c>
      <c r="Z111" s="171">
        <v>2165</v>
      </c>
      <c r="AA111" s="3"/>
      <c r="AB111" s="3"/>
      <c r="AC111" s="577" t="s">
        <v>272</v>
      </c>
    </row>
    <row r="112" spans="22:29" ht="15" customHeight="1" x14ac:dyDescent="0.25">
      <c r="V112" s="172" t="s">
        <v>631</v>
      </c>
      <c r="W112" s="680">
        <v>0</v>
      </c>
      <c r="X112" s="3"/>
      <c r="Y112" s="171">
        <v>3245</v>
      </c>
      <c r="Z112" s="171">
        <v>3245</v>
      </c>
      <c r="AA112" s="3"/>
      <c r="AB112" s="3"/>
      <c r="AC112" s="577" t="s">
        <v>238</v>
      </c>
    </row>
    <row r="113" spans="22:29" ht="15" customHeight="1" x14ac:dyDescent="0.25">
      <c r="V113" s="172" t="s">
        <v>632</v>
      </c>
      <c r="W113" s="680">
        <v>0</v>
      </c>
      <c r="X113" s="3"/>
      <c r="Y113" s="171">
        <v>500</v>
      </c>
      <c r="Z113" s="171">
        <v>500</v>
      </c>
      <c r="AA113" s="3"/>
      <c r="AB113" s="3"/>
      <c r="AC113" s="577" t="s">
        <v>238</v>
      </c>
    </row>
    <row r="114" spans="22:29" ht="15" customHeight="1" x14ac:dyDescent="0.25">
      <c r="V114" s="172" t="s">
        <v>633</v>
      </c>
      <c r="W114" s="680">
        <v>0</v>
      </c>
      <c r="X114" s="3"/>
      <c r="Y114" s="171">
        <v>3675</v>
      </c>
      <c r="Z114" s="171">
        <v>3675</v>
      </c>
      <c r="AA114" s="3"/>
      <c r="AB114" s="3"/>
      <c r="AC114" s="577" t="s">
        <v>238</v>
      </c>
    </row>
    <row r="115" spans="22:29" ht="15" customHeight="1" x14ac:dyDescent="0.25">
      <c r="V115" s="172" t="s">
        <v>634</v>
      </c>
      <c r="W115" s="680">
        <v>0</v>
      </c>
      <c r="X115" s="3"/>
      <c r="Y115" s="171">
        <v>360</v>
      </c>
      <c r="Z115" s="171">
        <v>360</v>
      </c>
      <c r="AA115" s="3"/>
      <c r="AB115" s="3"/>
      <c r="AC115" s="577" t="s">
        <v>407</v>
      </c>
    </row>
    <row r="116" spans="22:29" ht="15" customHeight="1" x14ac:dyDescent="0.25">
      <c r="V116" s="172" t="s">
        <v>635</v>
      </c>
      <c r="W116" s="680">
        <v>0</v>
      </c>
      <c r="X116" s="3"/>
      <c r="Y116" s="171"/>
      <c r="Z116" s="171"/>
      <c r="AA116" s="3"/>
      <c r="AB116" s="3"/>
      <c r="AC116" s="577" t="s">
        <v>407</v>
      </c>
    </row>
    <row r="117" spans="22:29" ht="15" customHeight="1" x14ac:dyDescent="0.25">
      <c r="V117" s="172" t="s">
        <v>636</v>
      </c>
      <c r="W117" s="680">
        <v>0</v>
      </c>
      <c r="X117" s="3"/>
      <c r="Y117" s="171"/>
      <c r="Z117" s="171"/>
      <c r="AA117" s="3"/>
      <c r="AB117" s="3"/>
      <c r="AC117" s="577" t="s">
        <v>407</v>
      </c>
    </row>
    <row r="118" spans="22:29" ht="15" customHeight="1" x14ac:dyDescent="0.25">
      <c r="V118" s="172" t="s">
        <v>637</v>
      </c>
      <c r="W118" s="680">
        <v>0</v>
      </c>
      <c r="X118" s="3"/>
      <c r="Y118" s="171"/>
      <c r="Z118" s="171"/>
      <c r="AA118" s="3"/>
      <c r="AB118" s="3"/>
      <c r="AC118" s="577" t="s">
        <v>258</v>
      </c>
    </row>
    <row r="119" spans="22:29" ht="15" customHeight="1" x14ac:dyDescent="0.25">
      <c r="V119" s="172" t="s">
        <v>638</v>
      </c>
      <c r="W119" s="680">
        <v>0</v>
      </c>
      <c r="X119" s="3"/>
      <c r="Y119" s="171"/>
      <c r="Z119" s="171"/>
      <c r="AA119" s="3"/>
      <c r="AB119" s="3"/>
      <c r="AC119" s="577" t="s">
        <v>259</v>
      </c>
    </row>
    <row r="120" spans="22:29" ht="15" customHeight="1" x14ac:dyDescent="0.25">
      <c r="V120" s="172" t="s">
        <v>639</v>
      </c>
      <c r="W120" s="680">
        <v>0</v>
      </c>
      <c r="X120" s="3"/>
      <c r="Y120" s="171">
        <v>0</v>
      </c>
      <c r="Z120" s="171">
        <v>0</v>
      </c>
      <c r="AA120" s="3"/>
      <c r="AB120" s="3"/>
      <c r="AC120" s="577" t="s">
        <v>259</v>
      </c>
    </row>
    <row r="121" spans="22:29" ht="15" customHeight="1" x14ac:dyDescent="0.25">
      <c r="V121" s="172" t="s">
        <v>640</v>
      </c>
      <c r="W121" s="680">
        <v>0</v>
      </c>
      <c r="X121" s="3"/>
      <c r="Y121" s="171">
        <f>3750+100</f>
        <v>3850</v>
      </c>
      <c r="Z121" s="171">
        <f>3750+100</f>
        <v>3850</v>
      </c>
      <c r="AA121" s="3"/>
      <c r="AB121" s="3"/>
      <c r="AC121" s="577" t="s">
        <v>259</v>
      </c>
    </row>
    <row r="122" spans="22:29" ht="15" customHeight="1" x14ac:dyDescent="0.25">
      <c r="V122" s="172" t="s">
        <v>641</v>
      </c>
      <c r="W122" s="680">
        <v>0</v>
      </c>
      <c r="X122" s="3"/>
      <c r="Y122" s="171">
        <f>3950+100</f>
        <v>4050</v>
      </c>
      <c r="Z122" s="171">
        <f>3950+100</f>
        <v>4050</v>
      </c>
      <c r="AA122" s="3"/>
      <c r="AB122" s="3"/>
      <c r="AC122" s="577" t="s">
        <v>259</v>
      </c>
    </row>
    <row r="123" spans="22:29" ht="15" customHeight="1" x14ac:dyDescent="0.25">
      <c r="V123" s="172" t="s">
        <v>642</v>
      </c>
      <c r="W123" s="680">
        <v>0</v>
      </c>
      <c r="X123" s="3"/>
      <c r="Y123" s="171">
        <f>3750+100</f>
        <v>3850</v>
      </c>
      <c r="Z123" s="171">
        <f>3750+100</f>
        <v>3850</v>
      </c>
      <c r="AA123" s="3"/>
      <c r="AB123" s="3"/>
      <c r="AC123" s="577" t="s">
        <v>259</v>
      </c>
    </row>
    <row r="124" spans="22:29" ht="15" customHeight="1" x14ac:dyDescent="0.25">
      <c r="V124" s="172" t="s">
        <v>643</v>
      </c>
      <c r="W124" s="680">
        <v>0</v>
      </c>
      <c r="X124" s="3"/>
      <c r="Y124" s="171">
        <f>3750+100</f>
        <v>3850</v>
      </c>
      <c r="Z124" s="171">
        <f>3750+100</f>
        <v>3850</v>
      </c>
      <c r="AA124" s="3"/>
      <c r="AB124" s="3"/>
      <c r="AC124" s="577" t="s">
        <v>259</v>
      </c>
    </row>
    <row r="125" spans="22:29" ht="15" customHeight="1" x14ac:dyDescent="0.25">
      <c r="V125" s="172" t="s">
        <v>644</v>
      </c>
      <c r="W125" s="680">
        <v>0</v>
      </c>
      <c r="X125" s="3"/>
      <c r="Y125" s="171">
        <f t="shared" ref="Y125:Z130" si="0">1775+100</f>
        <v>1875</v>
      </c>
      <c r="Z125" s="171">
        <f t="shared" si="0"/>
        <v>1875</v>
      </c>
      <c r="AA125" s="3"/>
      <c r="AB125" s="3"/>
      <c r="AC125" s="577" t="s">
        <v>259</v>
      </c>
    </row>
    <row r="126" spans="22:29" ht="15" customHeight="1" x14ac:dyDescent="0.25">
      <c r="V126" s="172" t="s">
        <v>645</v>
      </c>
      <c r="W126" s="680">
        <v>0</v>
      </c>
      <c r="X126" s="3"/>
      <c r="Y126" s="171">
        <f t="shared" si="0"/>
        <v>1875</v>
      </c>
      <c r="Z126" s="171">
        <f t="shared" si="0"/>
        <v>1875</v>
      </c>
      <c r="AA126" s="3"/>
      <c r="AB126" s="3"/>
      <c r="AC126" s="577" t="s">
        <v>259</v>
      </c>
    </row>
    <row r="127" spans="22:29" ht="15" customHeight="1" x14ac:dyDescent="0.25">
      <c r="V127" s="172" t="s">
        <v>646</v>
      </c>
      <c r="W127" s="680">
        <v>0</v>
      </c>
      <c r="X127" s="3"/>
      <c r="Y127" s="171">
        <f t="shared" si="0"/>
        <v>1875</v>
      </c>
      <c r="Z127" s="171">
        <f t="shared" si="0"/>
        <v>1875</v>
      </c>
      <c r="AA127" s="3"/>
      <c r="AB127" s="3"/>
      <c r="AC127" s="577" t="s">
        <v>259</v>
      </c>
    </row>
    <row r="128" spans="22:29" ht="15" customHeight="1" x14ac:dyDescent="0.25">
      <c r="V128" s="172" t="s">
        <v>647</v>
      </c>
      <c r="W128" s="680">
        <v>0</v>
      </c>
      <c r="X128" s="3"/>
      <c r="Y128" s="171">
        <f t="shared" si="0"/>
        <v>1875</v>
      </c>
      <c r="Z128" s="171">
        <f t="shared" si="0"/>
        <v>1875</v>
      </c>
      <c r="AA128" s="3"/>
      <c r="AB128" s="3"/>
      <c r="AC128" s="577" t="s">
        <v>259</v>
      </c>
    </row>
    <row r="129" spans="22:29" ht="15" customHeight="1" x14ac:dyDescent="0.25">
      <c r="V129" s="172" t="s">
        <v>648</v>
      </c>
      <c r="W129" s="680">
        <v>0</v>
      </c>
      <c r="X129" s="3"/>
      <c r="Y129" s="171">
        <f t="shared" si="0"/>
        <v>1875</v>
      </c>
      <c r="Z129" s="171">
        <f t="shared" si="0"/>
        <v>1875</v>
      </c>
      <c r="AA129" s="3"/>
      <c r="AB129" s="3"/>
      <c r="AC129" s="577" t="s">
        <v>259</v>
      </c>
    </row>
    <row r="130" spans="22:29" ht="15" customHeight="1" x14ac:dyDescent="0.25">
      <c r="V130" s="172" t="s">
        <v>649</v>
      </c>
      <c r="W130" s="680">
        <v>0</v>
      </c>
      <c r="X130" s="3"/>
      <c r="Y130" s="171">
        <f t="shared" si="0"/>
        <v>1875</v>
      </c>
      <c r="Z130" s="171">
        <f t="shared" si="0"/>
        <v>1875</v>
      </c>
      <c r="AA130" s="3"/>
      <c r="AB130" s="3"/>
      <c r="AC130" s="577" t="s">
        <v>259</v>
      </c>
    </row>
    <row r="131" spans="22:29" ht="15" customHeight="1" x14ac:dyDescent="0.25">
      <c r="V131" s="172" t="s">
        <v>650</v>
      </c>
      <c r="W131" s="680">
        <v>0</v>
      </c>
      <c r="X131" s="3"/>
      <c r="Y131" s="171">
        <v>760</v>
      </c>
      <c r="Z131" s="171">
        <v>760</v>
      </c>
      <c r="AA131" s="3"/>
      <c r="AB131" s="3"/>
      <c r="AC131" s="577" t="s">
        <v>259</v>
      </c>
    </row>
    <row r="132" spans="22:29" ht="15" customHeight="1" x14ac:dyDescent="0.25">
      <c r="V132" s="172" t="s">
        <v>651</v>
      </c>
      <c r="W132" s="680">
        <v>0</v>
      </c>
      <c r="X132" s="3"/>
      <c r="Y132" s="171">
        <v>750</v>
      </c>
      <c r="Z132" s="171">
        <v>750</v>
      </c>
      <c r="AA132" s="3"/>
      <c r="AB132" s="3"/>
      <c r="AC132" s="577" t="s">
        <v>259</v>
      </c>
    </row>
    <row r="133" spans="22:29" ht="15" customHeight="1" x14ac:dyDescent="0.25">
      <c r="V133" s="172" t="s">
        <v>652</v>
      </c>
      <c r="W133" s="680">
        <v>0</v>
      </c>
      <c r="X133" s="3"/>
      <c r="Y133" s="171">
        <v>825</v>
      </c>
      <c r="Z133" s="171">
        <v>825</v>
      </c>
      <c r="AA133" s="3"/>
      <c r="AB133" s="3"/>
      <c r="AC133" s="577" t="s">
        <v>245</v>
      </c>
    </row>
    <row r="134" spans="22:29" ht="15" customHeight="1" x14ac:dyDescent="0.25">
      <c r="V134" s="172" t="s">
        <v>653</v>
      </c>
      <c r="W134" s="680">
        <v>0</v>
      </c>
      <c r="X134" s="3"/>
      <c r="Y134" s="171">
        <v>1170</v>
      </c>
      <c r="Z134" s="171">
        <v>1170</v>
      </c>
      <c r="AA134" s="3"/>
      <c r="AB134" s="3"/>
      <c r="AC134" s="577" t="s">
        <v>245</v>
      </c>
    </row>
    <row r="135" spans="22:29" ht="15" customHeight="1" x14ac:dyDescent="0.25">
      <c r="V135" s="172" t="s">
        <v>654</v>
      </c>
      <c r="W135" s="680">
        <v>0</v>
      </c>
      <c r="X135" s="3"/>
      <c r="Y135" s="171">
        <v>400</v>
      </c>
      <c r="Z135" s="171">
        <v>400</v>
      </c>
      <c r="AA135" s="3"/>
      <c r="AB135" s="3"/>
      <c r="AC135" s="577" t="s">
        <v>245</v>
      </c>
    </row>
    <row r="136" spans="22:29" ht="15" customHeight="1" x14ac:dyDescent="0.25">
      <c r="V136" s="172" t="s">
        <v>655</v>
      </c>
      <c r="W136" s="680">
        <v>0</v>
      </c>
      <c r="X136" s="3"/>
      <c r="Y136" s="171">
        <v>640</v>
      </c>
      <c r="Z136" s="171">
        <v>640</v>
      </c>
      <c r="AA136" s="3"/>
      <c r="AB136" s="3"/>
      <c r="AC136" s="577" t="s">
        <v>245</v>
      </c>
    </row>
    <row r="137" spans="22:29" ht="15" customHeight="1" x14ac:dyDescent="0.25">
      <c r="V137" s="172" t="s">
        <v>656</v>
      </c>
      <c r="W137" s="680">
        <v>0</v>
      </c>
      <c r="X137" s="3"/>
      <c r="Y137" s="171"/>
      <c r="Z137" s="171"/>
      <c r="AA137" s="3"/>
      <c r="AB137" s="3"/>
      <c r="AC137" s="577" t="s">
        <v>279</v>
      </c>
    </row>
    <row r="138" spans="22:29" ht="15" customHeight="1" x14ac:dyDescent="0.25">
      <c r="V138" s="172" t="s">
        <v>657</v>
      </c>
      <c r="W138" s="680">
        <v>0</v>
      </c>
      <c r="X138" s="3"/>
      <c r="Y138" s="171"/>
      <c r="Z138" s="171"/>
      <c r="AA138" s="3"/>
      <c r="AB138" s="3"/>
      <c r="AC138" s="577" t="s">
        <v>279</v>
      </c>
    </row>
    <row r="139" spans="22:29" ht="15" customHeight="1" x14ac:dyDescent="0.25">
      <c r="V139" s="172" t="s">
        <v>658</v>
      </c>
      <c r="W139" s="680">
        <v>0</v>
      </c>
      <c r="X139" s="3"/>
      <c r="Y139" s="171"/>
      <c r="Z139" s="171"/>
      <c r="AA139" s="3"/>
      <c r="AB139" s="3"/>
      <c r="AC139" s="577" t="s">
        <v>279</v>
      </c>
    </row>
    <row r="140" spans="22:29" ht="15" customHeight="1" x14ac:dyDescent="0.25">
      <c r="V140" s="172" t="s">
        <v>659</v>
      </c>
      <c r="W140" s="680">
        <v>0</v>
      </c>
      <c r="X140" s="3"/>
      <c r="Y140" s="171"/>
      <c r="Z140" s="171"/>
      <c r="AA140" s="3"/>
      <c r="AB140" s="3"/>
      <c r="AC140" s="577" t="s">
        <v>279</v>
      </c>
    </row>
    <row r="141" spans="22:29" ht="15" customHeight="1" x14ac:dyDescent="0.25">
      <c r="V141" s="172" t="s">
        <v>660</v>
      </c>
      <c r="W141" s="680">
        <v>0</v>
      </c>
      <c r="X141" s="3"/>
      <c r="Y141" s="171"/>
      <c r="Z141" s="171"/>
      <c r="AA141" s="3"/>
      <c r="AB141" s="3"/>
      <c r="AC141" s="577" t="s">
        <v>279</v>
      </c>
    </row>
    <row r="142" spans="22:29" ht="15" customHeight="1" x14ac:dyDescent="0.25">
      <c r="V142" s="172" t="s">
        <v>661</v>
      </c>
      <c r="W142" s="680">
        <v>0</v>
      </c>
      <c r="X142" s="3"/>
      <c r="Y142" s="171"/>
      <c r="Z142" s="171"/>
      <c r="AA142" s="3"/>
      <c r="AB142" s="3"/>
      <c r="AC142" s="577" t="s">
        <v>279</v>
      </c>
    </row>
    <row r="143" spans="22:29" ht="15" customHeight="1" x14ac:dyDescent="0.25">
      <c r="V143" s="172" t="s">
        <v>662</v>
      </c>
      <c r="W143" s="680">
        <v>0</v>
      </c>
      <c r="X143" s="3"/>
      <c r="Y143" s="171"/>
      <c r="Z143" s="171"/>
      <c r="AA143" s="3"/>
      <c r="AB143" s="3"/>
      <c r="AC143" s="577" t="s">
        <v>279</v>
      </c>
    </row>
    <row r="144" spans="22:29" ht="15" customHeight="1" x14ac:dyDescent="0.25">
      <c r="V144" s="172" t="s">
        <v>663</v>
      </c>
      <c r="W144" s="680">
        <v>0</v>
      </c>
      <c r="X144" s="3"/>
      <c r="Y144" s="171"/>
      <c r="Z144" s="171"/>
      <c r="AA144" s="3"/>
      <c r="AB144" s="3"/>
      <c r="AC144" s="577" t="s">
        <v>84</v>
      </c>
    </row>
    <row r="145" spans="22:29" ht="15" customHeight="1" x14ac:dyDescent="0.25">
      <c r="V145" s="172" t="s">
        <v>664</v>
      </c>
      <c r="W145" s="680">
        <v>0</v>
      </c>
      <c r="X145" s="3"/>
      <c r="Y145" s="171"/>
      <c r="Z145" s="171"/>
      <c r="AA145" s="3"/>
      <c r="AB145" s="3"/>
      <c r="AC145" s="577" t="s">
        <v>84</v>
      </c>
    </row>
    <row r="146" spans="22:29" ht="15" customHeight="1" x14ac:dyDescent="0.25">
      <c r="V146" s="172" t="s">
        <v>665</v>
      </c>
      <c r="W146" s="680">
        <v>0</v>
      </c>
      <c r="X146" s="3"/>
      <c r="Y146" s="171"/>
      <c r="Z146" s="171"/>
      <c r="AA146" s="3"/>
      <c r="AB146" s="3"/>
      <c r="AC146" s="577" t="s">
        <v>272</v>
      </c>
    </row>
    <row r="147" spans="22:29" ht="15" customHeight="1" x14ac:dyDescent="0.25">
      <c r="V147" s="172" t="s">
        <v>666</v>
      </c>
      <c r="W147" s="680">
        <v>0</v>
      </c>
      <c r="X147" s="3"/>
      <c r="Y147" s="171"/>
      <c r="Z147" s="171"/>
      <c r="AA147" s="3"/>
      <c r="AB147" s="3"/>
      <c r="AC147" s="577" t="s">
        <v>272</v>
      </c>
    </row>
    <row r="148" spans="22:29" ht="15" customHeight="1" x14ac:dyDescent="0.25">
      <c r="V148" s="172" t="s">
        <v>667</v>
      </c>
      <c r="W148" s="680">
        <v>0</v>
      </c>
      <c r="X148" s="3"/>
      <c r="Y148" s="171">
        <v>670</v>
      </c>
      <c r="Z148" s="171">
        <v>670</v>
      </c>
      <c r="AA148" s="3"/>
      <c r="AB148" s="3"/>
      <c r="AC148" s="577" t="s">
        <v>343</v>
      </c>
    </row>
    <row r="149" spans="22:29" ht="15" customHeight="1" x14ac:dyDescent="0.25">
      <c r="V149" s="172" t="s">
        <v>668</v>
      </c>
      <c r="W149" s="680">
        <v>0</v>
      </c>
      <c r="X149" s="3"/>
      <c r="Y149" s="171">
        <v>670</v>
      </c>
      <c r="Z149" s="171">
        <v>670</v>
      </c>
      <c r="AA149" s="3"/>
      <c r="AB149" s="3"/>
      <c r="AC149" s="577" t="s">
        <v>343</v>
      </c>
    </row>
    <row r="150" spans="22:29" ht="15" customHeight="1" x14ac:dyDescent="0.25">
      <c r="V150" s="172" t="s">
        <v>669</v>
      </c>
      <c r="W150" s="680">
        <v>0</v>
      </c>
      <c r="X150" s="3"/>
      <c r="Y150" s="171">
        <v>670</v>
      </c>
      <c r="Z150" s="171">
        <v>670</v>
      </c>
      <c r="AA150" s="3"/>
      <c r="AB150" s="3"/>
      <c r="AC150" s="577" t="s">
        <v>343</v>
      </c>
    </row>
    <row r="151" spans="22:29" ht="15" customHeight="1" x14ac:dyDescent="0.25">
      <c r="V151" s="172" t="s">
        <v>670</v>
      </c>
      <c r="W151" s="749">
        <v>0</v>
      </c>
      <c r="X151" s="3"/>
      <c r="Y151" s="171">
        <v>800</v>
      </c>
      <c r="Z151" s="171">
        <v>800</v>
      </c>
      <c r="AA151" s="3"/>
      <c r="AB151" s="3"/>
      <c r="AC151" s="577" t="s">
        <v>343</v>
      </c>
    </row>
    <row r="152" spans="22:29" ht="15" customHeight="1" x14ac:dyDescent="0.25">
      <c r="V152" s="172" t="s">
        <v>671</v>
      </c>
      <c r="W152" s="749">
        <v>0</v>
      </c>
      <c r="X152" s="3"/>
      <c r="Y152" s="171">
        <v>1000</v>
      </c>
      <c r="Z152" s="171">
        <v>1000</v>
      </c>
      <c r="AA152" s="3"/>
      <c r="AB152" s="3"/>
      <c r="AC152" s="577" t="s">
        <v>343</v>
      </c>
    </row>
    <row r="153" spans="22:29" ht="14.25" customHeight="1" x14ac:dyDescent="0.25">
      <c r="V153" s="172" t="s">
        <v>672</v>
      </c>
      <c r="W153" s="749">
        <v>0</v>
      </c>
      <c r="X153" s="3"/>
      <c r="Y153" s="171">
        <v>1300</v>
      </c>
      <c r="Z153" s="171">
        <v>1300</v>
      </c>
      <c r="AA153" s="3"/>
      <c r="AB153" s="3"/>
      <c r="AC153" s="577" t="s">
        <v>343</v>
      </c>
    </row>
    <row r="154" spans="22:29" ht="15" customHeight="1" x14ac:dyDescent="0.25">
      <c r="V154" s="172" t="s">
        <v>673</v>
      </c>
      <c r="W154" s="678">
        <v>690</v>
      </c>
      <c r="X154" s="170">
        <v>87</v>
      </c>
      <c r="Y154" s="171"/>
      <c r="Z154" s="171"/>
      <c r="AA154" s="3"/>
      <c r="AB154" s="3"/>
      <c r="AC154" s="577" t="s">
        <v>326</v>
      </c>
    </row>
    <row r="155" spans="22:29" ht="15" customHeight="1" x14ac:dyDescent="0.25">
      <c r="V155" s="172" t="s">
        <v>674</v>
      </c>
      <c r="W155" s="175">
        <v>0</v>
      </c>
      <c r="X155" s="170">
        <v>29</v>
      </c>
      <c r="Y155" s="171"/>
      <c r="Z155" s="171"/>
      <c r="AA155" s="3"/>
      <c r="AB155" s="3"/>
      <c r="AC155" s="577" t="s">
        <v>326</v>
      </c>
    </row>
    <row r="156" spans="22:29" ht="15" customHeight="1" x14ac:dyDescent="0.25">
      <c r="V156" s="172" t="s">
        <v>675</v>
      </c>
      <c r="W156" s="175">
        <v>0</v>
      </c>
      <c r="X156" s="170">
        <v>29</v>
      </c>
      <c r="Y156" s="171"/>
      <c r="Z156" s="171"/>
      <c r="AA156" s="3"/>
      <c r="AB156" s="3"/>
      <c r="AC156" s="577" t="s">
        <v>326</v>
      </c>
    </row>
    <row r="157" spans="22:29" ht="15" customHeight="1" x14ac:dyDescent="0.25">
      <c r="V157" s="172" t="s">
        <v>676</v>
      </c>
      <c r="W157" s="175">
        <v>0</v>
      </c>
      <c r="X157" s="170">
        <v>29</v>
      </c>
      <c r="Y157" s="171"/>
      <c r="Z157" s="171"/>
      <c r="AA157" s="3"/>
      <c r="AB157" s="3"/>
      <c r="AC157" s="577" t="s">
        <v>326</v>
      </c>
    </row>
    <row r="158" spans="22:29" ht="15" customHeight="1" x14ac:dyDescent="0.25">
      <c r="V158" s="172" t="s">
        <v>677</v>
      </c>
      <c r="W158" s="175">
        <v>0</v>
      </c>
      <c r="X158" s="170">
        <v>29</v>
      </c>
      <c r="Y158" s="171"/>
      <c r="Z158" s="171"/>
      <c r="AA158" s="3"/>
      <c r="AB158" s="3"/>
      <c r="AC158" s="577" t="s">
        <v>326</v>
      </c>
    </row>
    <row r="159" spans="22:29" ht="15" customHeight="1" x14ac:dyDescent="0.25">
      <c r="V159" s="172" t="s">
        <v>678</v>
      </c>
      <c r="W159" s="175">
        <v>0</v>
      </c>
      <c r="X159" s="170">
        <v>29</v>
      </c>
      <c r="Y159" s="171"/>
      <c r="Z159" s="171"/>
      <c r="AA159" s="3"/>
      <c r="AB159" s="3"/>
      <c r="AC159" s="577" t="s">
        <v>326</v>
      </c>
    </row>
    <row r="160" spans="22:29" ht="15" customHeight="1" x14ac:dyDescent="0.25">
      <c r="V160" s="172" t="s">
        <v>679</v>
      </c>
      <c r="W160" s="175">
        <v>0</v>
      </c>
      <c r="X160" s="170">
        <v>29</v>
      </c>
      <c r="Y160" s="171"/>
      <c r="Z160" s="171"/>
      <c r="AA160" s="3"/>
      <c r="AB160" s="3"/>
      <c r="AC160" s="577" t="s">
        <v>326</v>
      </c>
    </row>
    <row r="161" spans="22:29" ht="15" customHeight="1" x14ac:dyDescent="0.25">
      <c r="V161" s="172" t="s">
        <v>680</v>
      </c>
      <c r="W161" s="678">
        <v>817</v>
      </c>
      <c r="X161" s="170">
        <v>52</v>
      </c>
      <c r="Y161" s="171"/>
      <c r="Z161" s="171"/>
      <c r="AA161" s="3"/>
      <c r="AB161" s="3"/>
      <c r="AC161" s="577" t="s">
        <v>326</v>
      </c>
    </row>
    <row r="162" spans="22:29" ht="15" customHeight="1" x14ac:dyDescent="0.25">
      <c r="V162" s="172" t="s">
        <v>681</v>
      </c>
      <c r="W162" s="175">
        <v>0</v>
      </c>
      <c r="X162" s="170">
        <v>52</v>
      </c>
      <c r="Y162" s="171"/>
      <c r="Z162" s="171"/>
      <c r="AA162" s="3"/>
      <c r="AB162" s="3"/>
      <c r="AC162" s="577" t="s">
        <v>326</v>
      </c>
    </row>
    <row r="163" spans="22:29" ht="15" customHeight="1" x14ac:dyDescent="0.25">
      <c r="V163" s="172" t="s">
        <v>682</v>
      </c>
      <c r="W163" s="175">
        <v>0</v>
      </c>
      <c r="X163" s="170">
        <v>52</v>
      </c>
      <c r="Y163" s="171"/>
      <c r="Z163" s="171"/>
      <c r="AA163" s="3"/>
      <c r="AB163" s="3"/>
      <c r="AC163" s="577" t="s">
        <v>326</v>
      </c>
    </row>
    <row r="164" spans="22:29" ht="15" customHeight="1" x14ac:dyDescent="0.25">
      <c r="V164" s="172" t="s">
        <v>683</v>
      </c>
      <c r="W164" s="678">
        <v>690</v>
      </c>
      <c r="X164" s="170">
        <v>60</v>
      </c>
      <c r="Y164" s="171"/>
      <c r="Z164" s="171"/>
      <c r="AA164" s="3"/>
      <c r="AB164" s="3"/>
      <c r="AC164" s="577" t="s">
        <v>326</v>
      </c>
    </row>
    <row r="165" spans="22:29" ht="15" customHeight="1" x14ac:dyDescent="0.25">
      <c r="V165" s="172" t="s">
        <v>684</v>
      </c>
      <c r="W165" s="175">
        <v>0</v>
      </c>
      <c r="X165" s="170">
        <v>30</v>
      </c>
      <c r="Y165" s="171"/>
      <c r="Z165" s="171"/>
      <c r="AA165" s="3"/>
      <c r="AB165" s="3"/>
      <c r="AC165" s="577" t="s">
        <v>326</v>
      </c>
    </row>
    <row r="166" spans="22:29" ht="15" customHeight="1" x14ac:dyDescent="0.25">
      <c r="V166" s="172" t="s">
        <v>685</v>
      </c>
      <c r="W166" s="175">
        <v>0</v>
      </c>
      <c r="X166" s="170">
        <v>30</v>
      </c>
      <c r="Y166" s="171"/>
      <c r="Z166" s="171"/>
      <c r="AA166" s="3"/>
      <c r="AB166" s="3"/>
      <c r="AC166" s="577" t="s">
        <v>326</v>
      </c>
    </row>
    <row r="167" spans="22:29" ht="15" customHeight="1" x14ac:dyDescent="0.25">
      <c r="V167" s="172" t="s">
        <v>686</v>
      </c>
      <c r="W167" s="175">
        <v>0</v>
      </c>
      <c r="X167" s="170">
        <v>30</v>
      </c>
      <c r="Y167" s="171"/>
      <c r="Z167" s="171"/>
      <c r="AA167" s="3"/>
      <c r="AB167" s="3"/>
      <c r="AC167" s="577" t="s">
        <v>326</v>
      </c>
    </row>
    <row r="168" spans="22:29" ht="15" customHeight="1" x14ac:dyDescent="0.25">
      <c r="V168" s="172" t="s">
        <v>687</v>
      </c>
      <c r="W168" s="175">
        <v>0</v>
      </c>
      <c r="X168" s="170">
        <v>30</v>
      </c>
      <c r="Y168" s="171"/>
      <c r="Z168" s="171"/>
      <c r="AA168" s="3"/>
      <c r="AB168" s="3"/>
      <c r="AC168" s="577" t="s">
        <v>326</v>
      </c>
    </row>
    <row r="169" spans="22:29" ht="15" customHeight="1" x14ac:dyDescent="0.25">
      <c r="V169" s="172" t="s">
        <v>688</v>
      </c>
      <c r="W169" s="175">
        <v>694</v>
      </c>
      <c r="X169" s="170">
        <v>80</v>
      </c>
      <c r="Y169" s="171"/>
      <c r="Z169" s="171"/>
      <c r="AA169" s="3"/>
      <c r="AB169" s="3"/>
      <c r="AC169" s="577" t="s">
        <v>326</v>
      </c>
    </row>
    <row r="170" spans="22:29" ht="15" customHeight="1" x14ac:dyDescent="0.25">
      <c r="V170" s="172" t="s">
        <v>689</v>
      </c>
      <c r="W170" s="175">
        <v>0</v>
      </c>
      <c r="X170" s="170">
        <v>26</v>
      </c>
      <c r="Y170" s="171"/>
      <c r="Z170" s="171"/>
      <c r="AA170" s="3"/>
      <c r="AB170" s="3"/>
      <c r="AC170" s="577" t="s">
        <v>326</v>
      </c>
    </row>
    <row r="171" spans="22:29" ht="15" customHeight="1" x14ac:dyDescent="0.25">
      <c r="V171" s="172" t="s">
        <v>690</v>
      </c>
      <c r="W171" s="175">
        <v>0</v>
      </c>
      <c r="X171" s="170">
        <v>26</v>
      </c>
      <c r="Y171" s="171"/>
      <c r="Z171" s="171"/>
      <c r="AA171" s="3"/>
      <c r="AB171" s="3"/>
      <c r="AC171" s="577" t="s">
        <v>326</v>
      </c>
    </row>
    <row r="172" spans="22:29" ht="15" customHeight="1" x14ac:dyDescent="0.25">
      <c r="V172" s="172" t="s">
        <v>691</v>
      </c>
      <c r="W172" s="175">
        <v>0</v>
      </c>
      <c r="X172" s="170">
        <v>26</v>
      </c>
      <c r="Y172" s="171"/>
      <c r="Z172" s="171"/>
      <c r="AA172" s="3"/>
      <c r="AB172" s="3"/>
      <c r="AC172" s="577" t="s">
        <v>326</v>
      </c>
    </row>
    <row r="173" spans="22:29" ht="15" customHeight="1" x14ac:dyDescent="0.25">
      <c r="V173" s="172" t="s">
        <v>692</v>
      </c>
      <c r="W173" s="175">
        <v>0</v>
      </c>
      <c r="X173" s="170">
        <v>26</v>
      </c>
      <c r="Y173" s="171"/>
      <c r="Z173" s="171"/>
      <c r="AA173" s="3"/>
      <c r="AB173" s="3"/>
      <c r="AC173" s="577" t="s">
        <v>326</v>
      </c>
    </row>
    <row r="174" spans="22:29" ht="15" customHeight="1" x14ac:dyDescent="0.25">
      <c r="V174" s="172" t="s">
        <v>693</v>
      </c>
      <c r="W174" s="175">
        <v>0</v>
      </c>
      <c r="X174" s="170">
        <v>26</v>
      </c>
      <c r="Y174" s="171"/>
      <c r="Z174" s="171"/>
      <c r="AA174" s="3"/>
      <c r="AB174" s="3"/>
      <c r="AC174" s="577" t="s">
        <v>326</v>
      </c>
    </row>
    <row r="175" spans="22:29" ht="15" customHeight="1" x14ac:dyDescent="0.25">
      <c r="V175" s="172" t="s">
        <v>694</v>
      </c>
      <c r="W175" s="175">
        <v>0</v>
      </c>
      <c r="X175" s="170">
        <v>26</v>
      </c>
      <c r="Y175" s="171"/>
      <c r="Z175" s="171"/>
      <c r="AA175" s="3"/>
      <c r="AB175" s="3"/>
      <c r="AC175" s="577" t="s">
        <v>326</v>
      </c>
    </row>
    <row r="176" spans="22:29" ht="15" customHeight="1" x14ac:dyDescent="0.25">
      <c r="V176" s="172" t="s">
        <v>695</v>
      </c>
      <c r="W176" s="678">
        <v>690</v>
      </c>
      <c r="X176" s="170">
        <v>60</v>
      </c>
      <c r="Y176" s="171"/>
      <c r="Z176" s="171"/>
      <c r="AA176" s="3"/>
      <c r="AB176" s="3"/>
      <c r="AC176" s="577" t="s">
        <v>326</v>
      </c>
    </row>
    <row r="177" spans="22:29" ht="15" customHeight="1" x14ac:dyDescent="0.25">
      <c r="V177" s="172" t="s">
        <v>696</v>
      </c>
      <c r="W177" s="175">
        <v>0</v>
      </c>
      <c r="X177" s="170">
        <v>30</v>
      </c>
      <c r="Y177" s="171"/>
      <c r="Z177" s="171"/>
      <c r="AA177" s="3"/>
      <c r="AB177" s="3"/>
      <c r="AC177" s="577" t="s">
        <v>326</v>
      </c>
    </row>
    <row r="178" spans="22:29" ht="15" customHeight="1" x14ac:dyDescent="0.25">
      <c r="V178" s="172" t="s">
        <v>697</v>
      </c>
      <c r="W178" s="175">
        <v>0</v>
      </c>
      <c r="X178" s="170">
        <v>30</v>
      </c>
      <c r="Y178" s="171"/>
      <c r="Z178" s="171"/>
      <c r="AA178" s="3"/>
      <c r="AB178" s="3"/>
      <c r="AC178" s="577" t="s">
        <v>326</v>
      </c>
    </row>
    <row r="179" spans="22:29" ht="15" customHeight="1" x14ac:dyDescent="0.25">
      <c r="V179" s="172" t="s">
        <v>698</v>
      </c>
      <c r="W179" s="175">
        <v>0</v>
      </c>
      <c r="X179" s="170">
        <v>30</v>
      </c>
      <c r="Y179" s="171"/>
      <c r="Z179" s="171"/>
      <c r="AA179" s="3"/>
      <c r="AB179" s="3"/>
      <c r="AC179" s="577" t="s">
        <v>326</v>
      </c>
    </row>
    <row r="180" spans="22:29" ht="15" customHeight="1" x14ac:dyDescent="0.25">
      <c r="V180" s="172" t="s">
        <v>699</v>
      </c>
      <c r="W180" s="175">
        <v>0</v>
      </c>
      <c r="X180" s="170">
        <v>30</v>
      </c>
      <c r="Y180" s="171"/>
      <c r="Z180" s="171"/>
      <c r="AA180" s="3"/>
      <c r="AB180" s="3"/>
      <c r="AC180" s="577" t="s">
        <v>326</v>
      </c>
    </row>
    <row r="181" spans="22:29" ht="15" customHeight="1" x14ac:dyDescent="0.25">
      <c r="V181" s="172" t="s">
        <v>250</v>
      </c>
      <c r="W181" s="175"/>
      <c r="X181" s="3"/>
      <c r="Y181" s="171">
        <v>2400</v>
      </c>
      <c r="Z181" s="171">
        <v>2400</v>
      </c>
      <c r="AA181" s="3"/>
      <c r="AB181" s="3"/>
      <c r="AC181" s="577" t="s">
        <v>279</v>
      </c>
    </row>
    <row r="182" spans="22:29" ht="15" customHeight="1" x14ac:dyDescent="0.25">
      <c r="V182" s="172" t="s">
        <v>250</v>
      </c>
      <c r="W182" s="175"/>
      <c r="X182" s="3"/>
      <c r="Y182" s="171">
        <v>2400</v>
      </c>
      <c r="Z182" s="171">
        <v>2400</v>
      </c>
      <c r="AA182" s="3"/>
      <c r="AB182" s="3"/>
      <c r="AC182" s="577" t="s">
        <v>290</v>
      </c>
    </row>
    <row r="183" spans="22:29" ht="15" customHeight="1" x14ac:dyDescent="0.25">
      <c r="V183" s="172" t="s">
        <v>250</v>
      </c>
      <c r="W183" s="175"/>
      <c r="X183" s="3"/>
      <c r="Y183" s="171">
        <v>2400</v>
      </c>
      <c r="Z183" s="171">
        <v>2400</v>
      </c>
      <c r="AA183" s="3"/>
      <c r="AB183" s="3"/>
      <c r="AC183" s="577" t="s">
        <v>286</v>
      </c>
    </row>
    <row r="184" spans="22:29" ht="15" customHeight="1" x14ac:dyDescent="0.25">
      <c r="V184" s="172" t="s">
        <v>250</v>
      </c>
      <c r="W184" s="175"/>
      <c r="X184" s="3"/>
      <c r="Y184" s="171">
        <v>2400</v>
      </c>
      <c r="Z184" s="171">
        <v>2400</v>
      </c>
      <c r="AA184" s="3"/>
      <c r="AB184" s="3"/>
      <c r="AC184" s="577" t="s">
        <v>326</v>
      </c>
    </row>
    <row r="185" spans="22:29" ht="15" customHeight="1" x14ac:dyDescent="0.25">
      <c r="V185" s="172" t="s">
        <v>250</v>
      </c>
      <c r="W185" s="3"/>
      <c r="X185" s="3"/>
      <c r="Y185" s="171">
        <v>2400</v>
      </c>
      <c r="Z185" s="171">
        <v>2400</v>
      </c>
      <c r="AA185" s="3"/>
      <c r="AB185" s="3"/>
      <c r="AC185" s="577" t="s">
        <v>84</v>
      </c>
    </row>
    <row r="186" spans="22:29" ht="15" customHeight="1" x14ac:dyDescent="0.25">
      <c r="V186" s="172" t="s">
        <v>250</v>
      </c>
      <c r="W186" s="3"/>
      <c r="X186" s="3"/>
      <c r="Y186" s="171">
        <v>2400</v>
      </c>
      <c r="Z186" s="171">
        <v>2400</v>
      </c>
      <c r="AA186" s="3"/>
      <c r="AB186" s="3"/>
      <c r="AC186" s="577" t="s">
        <v>238</v>
      </c>
    </row>
    <row r="187" spans="22:29" ht="15" customHeight="1" x14ac:dyDescent="0.25">
      <c r="V187" s="172" t="s">
        <v>250</v>
      </c>
      <c r="W187" s="3"/>
      <c r="X187" s="3"/>
      <c r="Y187" s="171">
        <v>2400</v>
      </c>
      <c r="Z187" s="171">
        <v>2400</v>
      </c>
      <c r="AA187" s="3"/>
      <c r="AB187" s="3"/>
      <c r="AC187" s="577" t="s">
        <v>272</v>
      </c>
    </row>
    <row r="188" spans="22:29" ht="15" customHeight="1" x14ac:dyDescent="0.25">
      <c r="V188" s="172" t="s">
        <v>250</v>
      </c>
      <c r="W188" s="175"/>
      <c r="X188" s="3"/>
      <c r="Y188" s="171">
        <v>2400</v>
      </c>
      <c r="Z188" s="171">
        <v>2400</v>
      </c>
      <c r="AA188" s="3"/>
      <c r="AB188" s="3"/>
      <c r="AC188" s="577" t="s">
        <v>245</v>
      </c>
    </row>
    <row r="189" spans="22:29" ht="15" customHeight="1" x14ac:dyDescent="0.25">
      <c r="V189" s="172" t="s">
        <v>250</v>
      </c>
      <c r="W189" s="3"/>
      <c r="X189" s="3"/>
      <c r="Y189" s="171">
        <v>2400</v>
      </c>
      <c r="Z189" s="171">
        <v>2400</v>
      </c>
      <c r="AA189" s="3"/>
      <c r="AB189" s="3"/>
      <c r="AC189" s="577" t="s">
        <v>343</v>
      </c>
    </row>
    <row r="190" spans="22:29" ht="15" customHeight="1" x14ac:dyDescent="0.25">
      <c r="V190" s="172" t="s">
        <v>250</v>
      </c>
      <c r="W190" s="3"/>
      <c r="X190" s="3"/>
      <c r="Y190" s="171">
        <v>2400</v>
      </c>
      <c r="Z190" s="171">
        <v>2400</v>
      </c>
      <c r="AA190" s="3"/>
      <c r="AB190" s="3"/>
      <c r="AC190" s="577" t="s">
        <v>258</v>
      </c>
    </row>
    <row r="191" spans="22:29" ht="15" customHeight="1" x14ac:dyDescent="0.25">
      <c r="V191" s="172" t="s">
        <v>250</v>
      </c>
      <c r="W191" s="3"/>
      <c r="X191" s="3"/>
      <c r="Y191" s="171">
        <v>2400</v>
      </c>
      <c r="Z191" s="171">
        <v>2400</v>
      </c>
      <c r="AA191" s="3"/>
      <c r="AB191" s="3"/>
      <c r="AC191" s="577" t="s">
        <v>407</v>
      </c>
    </row>
    <row r="192" spans="22:29" ht="15" customHeight="1" x14ac:dyDescent="0.25">
      <c r="V192" s="172" t="s">
        <v>700</v>
      </c>
      <c r="W192" s="175">
        <v>0</v>
      </c>
      <c r="X192" s="3">
        <v>25</v>
      </c>
      <c r="Y192" s="171"/>
      <c r="Z192" s="171"/>
      <c r="AA192" s="3"/>
      <c r="AB192" s="3"/>
      <c r="AC192" s="577" t="s">
        <v>84</v>
      </c>
    </row>
    <row r="193" spans="22:22" ht="15" customHeight="1" x14ac:dyDescent="0.25"/>
    <row r="194" spans="22:22" ht="15" customHeight="1" x14ac:dyDescent="0.25"/>
    <row r="195" spans="22:22" ht="15" customHeight="1" x14ac:dyDescent="0.25"/>
    <row r="196" spans="22:22" ht="15" customHeight="1" x14ac:dyDescent="0.25">
      <c r="V196" s="667" t="s">
        <v>701</v>
      </c>
    </row>
    <row r="197" spans="22:22" ht="15" customHeight="1" x14ac:dyDescent="0.25">
      <c r="V197" s="667" t="s">
        <v>702</v>
      </c>
    </row>
    <row r="198" spans="22:22" ht="15" customHeight="1" x14ac:dyDescent="0.25">
      <c r="V198" s="667" t="s">
        <v>703</v>
      </c>
    </row>
    <row r="199" spans="22:22" ht="15" customHeight="1" x14ac:dyDescent="0.25">
      <c r="V199" s="667" t="s">
        <v>704</v>
      </c>
    </row>
    <row r="200" spans="22:22" ht="15" customHeight="1" x14ac:dyDescent="0.25">
      <c r="V200" s="667" t="s">
        <v>705</v>
      </c>
    </row>
    <row r="201" spans="22:22" ht="15" customHeight="1" x14ac:dyDescent="0.25">
      <c r="V201" s="667" t="s">
        <v>706</v>
      </c>
    </row>
    <row r="202" spans="22:22" ht="15" customHeight="1" x14ac:dyDescent="0.25">
      <c r="V202" s="667" t="s">
        <v>707</v>
      </c>
    </row>
    <row r="203" spans="22:22" ht="15" customHeight="1" x14ac:dyDescent="0.25">
      <c r="V203" s="667" t="s">
        <v>708</v>
      </c>
    </row>
    <row r="204" spans="22:22" ht="15" customHeight="1" x14ac:dyDescent="0.25"/>
    <row r="205" spans="22:22" ht="15" customHeight="1" x14ac:dyDescent="0.25"/>
    <row r="206" spans="22:22" ht="15" customHeight="1" x14ac:dyDescent="0.25"/>
    <row r="207" spans="22:22" ht="15" customHeight="1" x14ac:dyDescent="0.25"/>
    <row r="208" spans="22:22" ht="15" customHeight="1" x14ac:dyDescent="0.25"/>
    <row r="209" ht="15" customHeight="1" x14ac:dyDescent="0.25"/>
    <row r="210" ht="15" customHeight="1" x14ac:dyDescent="0.25"/>
    <row r="211" ht="15" customHeight="1" x14ac:dyDescent="0.25"/>
    <row r="212" ht="15" customHeight="1" x14ac:dyDescent="0.25"/>
    <row r="213" ht="15" customHeight="1" x14ac:dyDescent="0.25"/>
    <row r="214" ht="15" customHeight="1" x14ac:dyDescent="0.25"/>
    <row r="215" ht="15" customHeight="1" x14ac:dyDescent="0.25"/>
    <row r="216" ht="15" customHeight="1" x14ac:dyDescent="0.25"/>
    <row r="217" ht="15" customHeight="1" x14ac:dyDescent="0.25"/>
    <row r="218" ht="15" customHeight="1" x14ac:dyDescent="0.25"/>
    <row r="219" ht="15" customHeight="1" x14ac:dyDescent="0.25"/>
    <row r="220" ht="15" customHeight="1" x14ac:dyDescent="0.25"/>
    <row r="221" ht="15" customHeight="1" x14ac:dyDescent="0.25"/>
    <row r="222" ht="15" customHeight="1" x14ac:dyDescent="0.25"/>
    <row r="223" ht="15" customHeight="1" x14ac:dyDescent="0.25"/>
    <row r="224" ht="15" customHeight="1" x14ac:dyDescent="0.25"/>
    <row r="225" ht="15" customHeight="1" x14ac:dyDescent="0.25"/>
    <row r="226" ht="15" customHeight="1" x14ac:dyDescent="0.25"/>
    <row r="227" ht="15" customHeight="1" x14ac:dyDescent="0.25"/>
    <row r="228" ht="15" customHeight="1" x14ac:dyDescent="0.25"/>
    <row r="229" ht="15" customHeight="1" x14ac:dyDescent="0.25"/>
    <row r="230" ht="15" customHeight="1" x14ac:dyDescent="0.25"/>
    <row r="231" ht="15" customHeight="1" x14ac:dyDescent="0.25"/>
    <row r="232" ht="15" customHeight="1" x14ac:dyDescent="0.25"/>
    <row r="233" ht="15" customHeight="1" x14ac:dyDescent="0.25"/>
    <row r="234" ht="15" customHeight="1" x14ac:dyDescent="0.25"/>
    <row r="235" ht="15" customHeight="1" x14ac:dyDescent="0.25"/>
    <row r="236" ht="15" customHeight="1" x14ac:dyDescent="0.25"/>
    <row r="237" ht="15" customHeight="1" x14ac:dyDescent="0.25"/>
    <row r="238" ht="15" customHeight="1" x14ac:dyDescent="0.25"/>
    <row r="239" ht="15" customHeight="1" x14ac:dyDescent="0.25"/>
    <row r="240" ht="15" customHeight="1" x14ac:dyDescent="0.25"/>
    <row r="241" ht="15" customHeight="1" x14ac:dyDescent="0.25"/>
    <row r="242" ht="15" customHeight="1" x14ac:dyDescent="0.25"/>
    <row r="243" ht="15" customHeight="1" x14ac:dyDescent="0.25"/>
    <row r="244" ht="15" customHeight="1" x14ac:dyDescent="0.25"/>
    <row r="245" ht="15" customHeight="1" x14ac:dyDescent="0.25"/>
    <row r="246" ht="15" customHeight="1" x14ac:dyDescent="0.25"/>
    <row r="247" ht="15" customHeight="1" x14ac:dyDescent="0.25"/>
    <row r="248" ht="15" customHeight="1" x14ac:dyDescent="0.25"/>
    <row r="249" ht="15" customHeight="1" x14ac:dyDescent="0.25"/>
    <row r="250" ht="15" customHeight="1" x14ac:dyDescent="0.25"/>
    <row r="251" ht="15" customHeight="1" x14ac:dyDescent="0.25"/>
    <row r="252" ht="15" customHeight="1" x14ac:dyDescent="0.25"/>
    <row r="253" ht="15" customHeight="1" x14ac:dyDescent="0.25"/>
    <row r="254" ht="15" customHeight="1" x14ac:dyDescent="0.25"/>
    <row r="255" ht="15" customHeight="1" x14ac:dyDescent="0.25"/>
    <row r="256" ht="15" customHeight="1" x14ac:dyDescent="0.25"/>
    <row r="257" ht="15" customHeight="1" x14ac:dyDescent="0.25"/>
    <row r="258" ht="15" customHeight="1" x14ac:dyDescent="0.25"/>
    <row r="259" ht="15" customHeight="1" x14ac:dyDescent="0.25"/>
    <row r="260" ht="15" customHeight="1" x14ac:dyDescent="0.25"/>
    <row r="261" ht="15" customHeight="1" x14ac:dyDescent="0.25"/>
    <row r="262" ht="15" customHeight="1" x14ac:dyDescent="0.25"/>
    <row r="263" ht="15" customHeight="1" x14ac:dyDescent="0.25"/>
    <row r="264" ht="15" customHeight="1" x14ac:dyDescent="0.25"/>
    <row r="265" ht="15" customHeight="1" x14ac:dyDescent="0.25"/>
    <row r="266" ht="15" customHeight="1" x14ac:dyDescent="0.25"/>
    <row r="267" ht="15" customHeight="1" x14ac:dyDescent="0.25"/>
    <row r="268" ht="15" customHeight="1" x14ac:dyDescent="0.25"/>
  </sheetData>
  <autoFilter ref="V4:AC192" xr:uid="{00000000-0001-0000-0700-000000000000}"/>
  <sortState xmlns:xlrd2="http://schemas.microsoft.com/office/spreadsheetml/2017/richdata2" ref="V6:AA91">
    <sortCondition ref="V6"/>
  </sortState>
  <mergeCells count="19">
    <mergeCell ref="AF75:AF89"/>
    <mergeCell ref="AF51:AF55"/>
    <mergeCell ref="AF65:AF74"/>
    <mergeCell ref="AF43:AF50"/>
    <mergeCell ref="AF35:AF42"/>
    <mergeCell ref="AF56:AF63"/>
    <mergeCell ref="AF7:AF10"/>
    <mergeCell ref="B9:B28"/>
    <mergeCell ref="R2:S2"/>
    <mergeCell ref="B6:B8"/>
    <mergeCell ref="B3:D3"/>
    <mergeCell ref="L4:M4"/>
    <mergeCell ref="L15:L16"/>
    <mergeCell ref="I3:J3"/>
    <mergeCell ref="AF29:AF34"/>
    <mergeCell ref="AF11:AF17"/>
    <mergeCell ref="AF18:AF21"/>
    <mergeCell ref="AF24:AF28"/>
    <mergeCell ref="AF22:AF23"/>
  </mergeCells>
  <phoneticPr fontId="50" type="noConversion"/>
  <dataValidations disablePrompts="1" count="3">
    <dataValidation type="list" allowBlank="1" showInputMessage="1" showErrorMessage="1" sqref="P44" xr:uid="{BB61520D-322A-4F83-96D4-247A503CCC1B}">
      <formula1>"diplôme"</formula1>
    </dataValidation>
    <dataValidation type="list" allowBlank="1" showInputMessage="1" showErrorMessage="1" sqref="O44" xr:uid="{380A4FC4-93B0-4444-AFDB-D8565957D4CD}">
      <formula1>$J$36:$J$41</formula1>
    </dataValidation>
    <dataValidation type="list" allowBlank="1" showInputMessage="1" showErrorMessage="1" sqref="O45" xr:uid="{4E4B3264-9A1F-4751-8C46-EB7EA432F618}">
      <formula1>$I$6:$I$19</formula1>
    </dataValidation>
  </dataValidations>
  <pageMargins left="0.31496062992125984" right="0.31496062992125984" top="0.35433070866141736" bottom="0.35433070866141736" header="0.31496062992125984" footer="0.31496062992125984"/>
  <pageSetup paperSize="9" fitToHeight="2" orientation="portrait" horizontalDpi="4294967295" verticalDpi="4294967295"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I48"/>
  <sheetViews>
    <sheetView workbookViewId="0"/>
  </sheetViews>
  <sheetFormatPr baseColWidth="10" defaultColWidth="11.453125" defaultRowHeight="12.5" x14ac:dyDescent="0.25"/>
  <cols>
    <col min="1" max="2" width="11.453125" style="1"/>
    <col min="3" max="3" width="37.453125" style="1" customWidth="1"/>
    <col min="4" max="16384" width="11.453125" style="1"/>
  </cols>
  <sheetData>
    <row r="1" spans="1:9" x14ac:dyDescent="0.25">
      <c r="A1" s="181" t="s">
        <v>213</v>
      </c>
    </row>
    <row r="2" spans="1:9" x14ac:dyDescent="0.25">
      <c r="A2" s="181"/>
    </row>
    <row r="3" spans="1:9" ht="13" x14ac:dyDescent="0.25">
      <c r="A3" s="872" t="s">
        <v>709</v>
      </c>
      <c r="C3" s="95" t="s">
        <v>79</v>
      </c>
      <c r="D3" s="106">
        <f>'Recettes et simulat prev'!E7</f>
        <v>20</v>
      </c>
    </row>
    <row r="4" spans="1:9" ht="13" x14ac:dyDescent="0.25">
      <c r="A4" s="872"/>
      <c r="C4" s="95" t="s">
        <v>83</v>
      </c>
      <c r="D4" s="106">
        <f>'Recettes et simulat prev'!E8</f>
        <v>20</v>
      </c>
    </row>
    <row r="5" spans="1:9" ht="13" thickBot="1" x14ac:dyDescent="0.3">
      <c r="A5" s="872"/>
    </row>
    <row r="6" spans="1:9" ht="13" thickBot="1" x14ac:dyDescent="0.3">
      <c r="A6" s="872"/>
      <c r="B6" s="96"/>
      <c r="C6" s="96"/>
      <c r="D6" s="107" t="s">
        <v>240</v>
      </c>
      <c r="E6" s="91" t="s">
        <v>710</v>
      </c>
      <c r="F6" s="92" t="s">
        <v>711</v>
      </c>
      <c r="G6" s="107" t="s">
        <v>712</v>
      </c>
      <c r="H6" s="90" t="s">
        <v>240</v>
      </c>
      <c r="I6" s="108" t="s">
        <v>710</v>
      </c>
    </row>
    <row r="7" spans="1:9" ht="13.9" customHeight="1" x14ac:dyDescent="0.25">
      <c r="A7" s="872"/>
      <c r="B7" s="27" t="s">
        <v>713</v>
      </c>
      <c r="C7" s="97" t="s">
        <v>714</v>
      </c>
      <c r="D7" s="59">
        <f>SUMIFS(Enseignement!$X$9:$X$131,Enseignement!$J$9:$J$131,Paramétrage!$D$6,Enseignement!$AK$9:$AK$131,1)*Paramétrage!$G$6+SUMIFS(Enseignement!$X$9:$X$131,Enseignement!$J$9:$J$131,Paramétrage!$D$7,Enseignement!$AK$9:$AK$131,1)*Paramétrage!$G$7+SUMIFS(Enseignement!$X$9:$X$131,Enseignement!$J$9:$J$131,Paramétrage!$D$8,Enseignement!$AK$9:$AK$131,1)*Paramétrage!$G$8+SUMIFS(Enseignement!$X$9:$X$131,Enseignement!$J$9:$J$131,Paramétrage!$D$10,Enseignement!$AK$9:$AK$131,1)*Paramétrage!$G$10+SUMIFS(Enseignement!$X$9:$X$131,Enseignement!$J$9:$J$131,Paramétrage!$D$11,Enseignement!$AK$9:$AK$131,1)*Paramétrage!$G$11+SUMIFS(Enseignement!$X$9:$X$131,Enseignement!$J$9:$J$131,Paramétrage!$D$13,Enseignement!$AK$9:$AK$131,1)*Paramétrage!$G$13+SUMIFS(Enseignement!$X$9:$X$131,Enseignement!$J$9:$J$131,Paramétrage!$D$14,Enseignement!$AK$9:$AK$131,1)*Paramétrage!$G$14+SUMIFS(Enseignement!$X$9:$X$131,Enseignement!$J$9:$J$131,Paramétrage!$D$16,Enseignement!$AK$9:$AK$131,1)*Paramétrage!$G$16+SUMIFS(Enseignement!$X$9:$X$131,Enseignement!$J$9:$J$131,Paramétrage!$D$17,Enseignement!$AK$9:$AK$131,1)*Paramétrage!$G$17+SUMIFS(Enseignement!$X$9:$X$131,Enseignement!$J$9:$J$131,Paramétrage!$D$19,Enseignement!$AK$9:$AK$131,1)*Paramétrage!$G$19+SUMIFS(Enseignement!$X$9:$X$131,Enseignement!$J$9:$J$131,Paramétrage!$D$20,Enseignement!$AK$9:$AK$131,1)*Paramétrage!$G$20+SUMIFS(Enseignement!$X$9:$X$131,Enseignement!$J$9:$J$131,Paramétrage!$D$23,Enseignement!$AK$9:$AK$131,1)*Paramétrage!$G$23+SUMIFS(Enseignement!$X$9:$X$131,Enseignement!$J$9:$J$131,Paramétrage!$D$24,Enseignement!$AK$9:$AK$131,1)*Paramétrage!$G$24+SUMIFS(Enseignement!$X$9:$X$131,Enseignement!$J$9:$J$131,Paramétrage!$D$26,Enseignement!$AK$9:$AK$131,1)*Paramétrage!$G$26+SUMIFS(Enseignement!$X$9:$X$131,Enseignement!$J$9:$J$131,Paramétrage!$D$27,Enseignement!$AK$9:$AK$131,1)*Paramétrage!$G$27</f>
        <v>0</v>
      </c>
      <c r="E7" s="58">
        <f>SUMIFS(Enseignement!$X$9:$X$131,Enseignement!$J$9:$J$131,Paramétrage!$D$6,Enseignement!$AK$9:$AK$131,2)*Paramétrage!$G$6+SUMIFS(Enseignement!$X$9:$X$131,Enseignement!$J$9:$J$131,Paramétrage!$D$7,Enseignement!$AK$9:$AK$131,2)*Paramétrage!$G$7+SUMIFS(Enseignement!$X$9:$X$131,Enseignement!$J$9:$J$131,Paramétrage!$D$8,Enseignement!$AK$9:$AK$131,2)*Paramétrage!$G$8+SUMIFS(Enseignement!$X$9:$X$131,Enseignement!$J$9:$J$131,Paramétrage!$D$10,Enseignement!$AK$9:$AK$131,2)*Paramétrage!$G$10+SUMIFS(Enseignement!$X$9:$X$131,Enseignement!$J$9:$J$131,Paramétrage!$D$11,Enseignement!$AK$9:$AK$131,2)*Paramétrage!$G$11+SUMIFS(Enseignement!$X$9:$X$131,Enseignement!$J$9:$J$131,Paramétrage!$D$13,Enseignement!$AK$9:$AK$131,2)*Paramétrage!$G$13+SUMIFS(Enseignement!$X$9:$X$131,Enseignement!$J$9:$J$131,Paramétrage!$D$14,Enseignement!$AK$9:$AK$131,2)*Paramétrage!$G$14+SUMIFS(Enseignement!$X$9:$X$131,Enseignement!$J$9:$J$131,Paramétrage!$D$16,Enseignement!$AK$9:$AK$131,2)*Paramétrage!$G$16+SUMIFS(Enseignement!$X$9:$X$131,Enseignement!$J$9:$J$131,Paramétrage!$D$17,Enseignement!$AK$9:$AK$131,2)*Paramétrage!$G$17+SUMIFS(Enseignement!$X$9:$X$131,Enseignement!$J$9:$J$131,Paramétrage!$D$19,Enseignement!$AK$9:$AK$131,2)*Paramétrage!$G$19+SUMIFS(Enseignement!$X$9:$X$131,Enseignement!$J$9:$J$131,Paramétrage!$D$20,Enseignement!$AK$9:$AK$131,2)*Paramétrage!$G$20+SUMIFS(Enseignement!$X$9:$X$131,Enseignement!$J$9:$J$131,Paramétrage!$D$23,Enseignement!$AK$9:$AK$131,2)*Paramétrage!$G$23+SUMIFS(Enseignement!$X$9:$X$131,Enseignement!$J$9:$J$131,Paramétrage!$D$24,Enseignement!$AK$9:$AK$131,2)*Paramétrage!$G$24+SUMIFS(Enseignement!$X$9:$X$131,Enseignement!$J$9:$J$131,Paramétrage!$D$26,Enseignement!$AK$9:$AK$131,2)*Paramétrage!$G$26+SUMIFS(Enseignement!$X$9:$X$131,Enseignement!$J$9:$J$131,Paramétrage!$D$27,Enseignement!$AK$9:$AK$131,2)*Paramétrage!$G$27</f>
        <v>18</v>
      </c>
      <c r="F7" s="61">
        <f>SUMIFS(Enseignement!$X$9:$X$131,Enseignement!$J$9:$J$131,Paramétrage!$D$6,Enseignement!$AK$9:$AK$131,3)*Paramétrage!$G$6+SUMIFS(Enseignement!$X$9:$X$131,Enseignement!$J$9:$J$131,Paramétrage!$D$7,Enseignement!$AK$9:$AK$131,3)*Paramétrage!$G$7+SUMIFS(Enseignement!$X$9:$X$131,Enseignement!$J$9:$J$131,Paramétrage!$D$8,Enseignement!$AK$9:$AK$131,3)*Paramétrage!$G$8+SUMIFS(Enseignement!$X$9:$X$131,Enseignement!$J$9:$J$131,Paramétrage!$D$10,Enseignement!$AK$9:$AK$131,3)*Paramétrage!$G$10+SUMIFS(Enseignement!$X$9:$X$131,Enseignement!$J$9:$J$131,Paramétrage!$D$11,Enseignement!$AK$9:$AK$131,3)*Paramétrage!$G$11+SUMIFS(Enseignement!$X$9:$X$131,Enseignement!$J$9:$J$131,Paramétrage!$D$13,Enseignement!$AK$9:$AK$131,3)*Paramétrage!$G$13+SUMIFS(Enseignement!$X$9:$X$131,Enseignement!$J$9:$J$131,Paramétrage!$D$14,Enseignement!$AK$9:$AK$131,3)*Paramétrage!$G$14+SUMIFS(Enseignement!$X$9:$X$131,Enseignement!$J$9:$J$131,Paramétrage!$D$16,Enseignement!$AK$9:$AK$131,3)*Paramétrage!$G$16+SUMIFS(Enseignement!$X$9:$X$131,Enseignement!$J$9:$J$131,Paramétrage!$D$17,Enseignement!$AK$9:$AK$131,3)*Paramétrage!$G$17+SUMIFS(Enseignement!$X$9:$X$131,Enseignement!$J$9:$J$131,Paramétrage!$D$19,Enseignement!$AK$9:$AK$131,3)*Paramétrage!$G$19+SUMIFS(Enseignement!$X$9:$X$131,Enseignement!$J$9:$J$131,Paramétrage!$D$20,Enseignement!$AK$9:$AK$131,3)*Paramétrage!$G$20+SUMIFS(Enseignement!$X$9:$X$131,Enseignement!$J$9:$J$131,Paramétrage!$D$23,Enseignement!$AK$9:$AK$131,3)*Paramétrage!$G$23+SUMIFS(Enseignement!$X$9:$X$131,Enseignement!$J$9:$J$131,Paramétrage!$D$24,Enseignement!$AK$9:$AK$131,3)*Paramétrage!$G$24+SUMIFS(Enseignement!$X$9:$X$131,Enseignement!$J$9:$J$131,Paramétrage!$D$26,Enseignement!$AK$9:$AK$131,3)*Paramétrage!$G$26+SUMIFS(Enseignement!$X$9:$X$131,Enseignement!$J$9:$J$131,Paramétrage!$D$27,Enseignement!$AK$9:$AK$131,3)*Paramétrage!$G$27</f>
        <v>0</v>
      </c>
      <c r="G7" s="136">
        <f>H7+I7</f>
        <v>18</v>
      </c>
      <c r="H7" s="137">
        <f>IF($D$3=0,0,D7+F7*($D$3-$D$4)/$D$3)</f>
        <v>0</v>
      </c>
      <c r="I7" s="138">
        <f>IF($D$3=0,0,E7+F7*$D$4/$D$3)</f>
        <v>18</v>
      </c>
    </row>
    <row r="8" spans="1:9" ht="13.9" customHeight="1" x14ac:dyDescent="0.25">
      <c r="A8" s="872"/>
      <c r="B8" s="27" t="s">
        <v>715</v>
      </c>
      <c r="C8" s="98" t="s">
        <v>716</v>
      </c>
      <c r="D8" s="60">
        <f>SUMIFS(Enseignement!$Y$9:$Y$131,Enseignement!$J$9:$J$131,Paramétrage!$D$6,Enseignement!$AK$9:$AK$131,1)*Paramétrage!$G$6+SUMIFS(Enseignement!$Y$9:$Y$131,Enseignement!$J$9:$J$131,Paramétrage!$D$7,Enseignement!$AK$9:$AK$131,1)*Paramétrage!$G$7+SUMIFS(Enseignement!$Y$9:$Y$131,Enseignement!$J$9:$J$131,Paramétrage!$D$8,Enseignement!$AK$9:$AK$131,1)*Paramétrage!$G$8+SUMIFS(Enseignement!$Y$9:$Y$131,Enseignement!$J$9:$J$131,Paramétrage!$D$10,Enseignement!$AK$9:$AK$131,1)*Paramétrage!$G$10+SUMIFS(Enseignement!$Y$9:$Y$131,Enseignement!$J$9:$J$131,Paramétrage!$D$11,Enseignement!$AK$9:$AK$131,1)*Paramétrage!$G$11+SUMIFS(Enseignement!$Y$9:$Y$131,Enseignement!$J$9:$J$131,Paramétrage!$D$13,Enseignement!$AK$9:$AK$131,1)*Paramétrage!$G$13+SUMIFS(Enseignement!$Y$9:$Y$131,Enseignement!$J$9:$J$131,Paramétrage!$D$14,Enseignement!$AK$9:$AK$131,1)*Paramétrage!$G$14+SUMIFS(Enseignement!$Y$9:$Y$131,Enseignement!$J$9:$J$131,Paramétrage!$D$16,Enseignement!$AK$9:$AK$131,1)*Paramétrage!$G$16+SUMIFS(Enseignement!$Y$9:$Y$131,Enseignement!$J$9:$J$131,Paramétrage!$D$17,Enseignement!$AK$9:$AK$131,1)*Paramétrage!$G$17+SUMIFS(Enseignement!$Y$9:$Y$131,Enseignement!$J$9:$J$131,Paramétrage!$D$19,Enseignement!$AK$9:$AK$131,1)*Paramétrage!$G$19+SUMIFS(Enseignement!$Y$9:$Y$131,Enseignement!$J$9:$J$131,Paramétrage!$D$20,Enseignement!$AK$9:$AK$131,1)*Paramétrage!$G$20+SUMIFS(Enseignement!$Y$9:$Y$131,Enseignement!$J$9:$J$131,Paramétrage!$D$23,Enseignement!$AK$9:$AK$131,1)*Paramétrage!$G$23+SUMIFS(Enseignement!$Y$9:$Y$131,Enseignement!$J$9:$J$131,Paramétrage!$D$24,Enseignement!$AK$9:$AK$131,1)*Paramétrage!$G$24+SUMIFS(Enseignement!$Y$9:$Y$131,Enseignement!$J$9:$J$131,Paramétrage!$D$26,Enseignement!$AK$9:$AK$131,1)*Paramétrage!$G$26+SUMIFS(Enseignement!$Y$9:$Y$131,Enseignement!$J$9:$J$131,Paramétrage!$D$27,Enseignement!$AK$9:$AK$131,1)*Paramétrage!$G$27</f>
        <v>0</v>
      </c>
      <c r="E8" s="57">
        <f>SUMIFS(Enseignement!$Y$9:$Y$131,Enseignement!$J$9:$J$131,Paramétrage!$D$6,Enseignement!$AK$9:$AK$131,2)*Paramétrage!$G$6+SUMIFS(Enseignement!$Y$9:$Y$131,Enseignement!$J$9:$J$131,Paramétrage!$D$7,Enseignement!$AK$9:$AK$131,2)*Paramétrage!$G$7+SUMIFS(Enseignement!$Y$9:$Y$131,Enseignement!$J$9:$J$131,Paramétrage!$D$8,Enseignement!$AK$9:$AK$131,2)*Paramétrage!$G$8+SUMIFS(Enseignement!$Y$9:$Y$131,Enseignement!$J$9:$J$131,Paramétrage!$D$10,Enseignement!$AK$9:$AK$131,2)*Paramétrage!$G$10+SUMIFS(Enseignement!$Y$9:$Y$131,Enseignement!$J$9:$J$131,Paramétrage!$D$11,Enseignement!$AK$9:$AK$131,2)*Paramétrage!$G$11+SUMIFS(Enseignement!$Y$9:$Y$131,Enseignement!$J$9:$J$131,Paramétrage!$D$13,Enseignement!$AK$9:$AK$131,2)*Paramétrage!$G$13+SUMIFS(Enseignement!$Y$9:$Y$131,Enseignement!$J$9:$J$131,Paramétrage!$D$14,Enseignement!$AK$9:$AK$131,2)*Paramétrage!$G$14+SUMIFS(Enseignement!$Y$9:$Y$131,Enseignement!$J$9:$J$131,Paramétrage!$D$16,Enseignement!$AK$9:$AK$131,2)*Paramétrage!$G$16+SUMIFS(Enseignement!$Y$9:$Y$131,Enseignement!$J$9:$J$131,Paramétrage!$D$17,Enseignement!$AK$9:$AK$131,2)*Paramétrage!$G$17+SUMIFS(Enseignement!$Y$9:$Y$131,Enseignement!$J$9:$J$131,Paramétrage!$D$19,Enseignement!$AK$9:$AK$131,2)*Paramétrage!$G$19+SUMIFS(Enseignement!$Y$9:$Y$131,Enseignement!$J$9:$J$131,Paramétrage!$D$20,Enseignement!$AK$9:$AK$131,2)*Paramétrage!$G$20+SUMIFS(Enseignement!$Y$9:$Y$131,Enseignement!$J$9:$J$131,Paramétrage!$D$23,Enseignement!$AK$9:$AK$131,2)*Paramétrage!$G$23+SUMIFS(Enseignement!$Y$9:$Y$131,Enseignement!$J$9:$J$131,Paramétrage!$D$24,Enseignement!$AK$9:$AK$131,2)*Paramétrage!$G$24+SUMIFS(Enseignement!$Y$9:$Y$131,Enseignement!$J$9:$J$131,Paramétrage!$D$26,Enseignement!$AK$9:$AK$131,2)*Paramétrage!$G$26+SUMIFS(Enseignement!$Y$9:$Y$131,Enseignement!$J$9:$J$131,Paramétrage!$D$27,Enseignement!$AK$9:$AK$131,2)*Paramétrage!$G$27</f>
        <v>26</v>
      </c>
      <c r="F8" s="62">
        <f>SUMIFS(Enseignement!$Y$9:$Y$131,Enseignement!$J$9:$J$131,Paramétrage!$D$6,Enseignement!$AK$9:$AK$131,3)*Paramétrage!$G$6+SUMIFS(Enseignement!$Y$9:$Y$131,Enseignement!$J$9:$J$131,Paramétrage!$D$7,Enseignement!$AK$9:$AK$131,3)*Paramétrage!$G$7+SUMIFS(Enseignement!$Y$9:$Y$131,Enseignement!$J$9:$J$131,Paramétrage!$D$8,Enseignement!$AK$9:$AK$131,3)*Paramétrage!$G$8+SUMIFS(Enseignement!$Y$9:$Y$131,Enseignement!$J$9:$J$131,Paramétrage!$D$10,Enseignement!$AK$9:$AK$131,3)*Paramétrage!$G$10+SUMIFS(Enseignement!$Y$9:$Y$131,Enseignement!$J$9:$J$131,Paramétrage!$D$11,Enseignement!$AK$9:$AK$131,3)*Paramétrage!$G$11+SUMIFS(Enseignement!$Y$9:$Y$131,Enseignement!$J$9:$J$131,Paramétrage!$D$13,Enseignement!$AK$9:$AK$131,3)*Paramétrage!$G$13+SUMIFS(Enseignement!$Y$9:$Y$131,Enseignement!$J$9:$J$131,Paramétrage!$D$14,Enseignement!$AK$9:$AK$131,3)*Paramétrage!$G$14+SUMIFS(Enseignement!$Y$9:$Y$131,Enseignement!$J$9:$J$131,Paramétrage!$D$16,Enseignement!$AK$9:$AK$131,3)*Paramétrage!$G$16+SUMIFS(Enseignement!$Y$9:$Y$131,Enseignement!$J$9:$J$131,Paramétrage!$D$17,Enseignement!$AK$9:$AK$131,3)*Paramétrage!$G$17+SUMIFS(Enseignement!$Y$9:$Y$131,Enseignement!$J$9:$J$131,Paramétrage!$D$19,Enseignement!$AK$9:$AK$131,3)*Paramétrage!$G$19+SUMIFS(Enseignement!$Y$9:$Y$131,Enseignement!$J$9:$J$131,Paramétrage!$D$20,Enseignement!$AK$9:$AK$131,3)*Paramétrage!$G$20+SUMIFS(Enseignement!$Y$9:$Y$131,Enseignement!$J$9:$J$131,Paramétrage!$D$23,Enseignement!$AK$9:$AK$131,3)*Paramétrage!$G$23+SUMIFS(Enseignement!$Y$9:$Y$131,Enseignement!$J$9:$J$131,Paramétrage!$D$24,Enseignement!$AK$9:$AK$131,3)*Paramétrage!$G$24+SUMIFS(Enseignement!$Y$9:$Y$131,Enseignement!$J$9:$J$131,Paramétrage!$D$26,Enseignement!$AK$9:$AK$131,3)*Paramétrage!$G$26+SUMIFS(Enseignement!$Y$9:$Y$131,Enseignement!$J$9:$J$131,Paramétrage!$D$27,Enseignement!$AK$9:$AK$131,3)*Paramétrage!$G$27</f>
        <v>0</v>
      </c>
      <c r="G8" s="114">
        <f>H8+I8</f>
        <v>26</v>
      </c>
      <c r="H8" s="115">
        <f>IF($D$3=0,0,D8+F8*($D$3-$D$4)/$D$3)</f>
        <v>0</v>
      </c>
      <c r="I8" s="126">
        <f>IF($D$3=0,0,E8+F8*$D$4/$D$3)</f>
        <v>26</v>
      </c>
    </row>
    <row r="9" spans="1:9" ht="15.5" x14ac:dyDescent="0.25">
      <c r="A9" s="872"/>
      <c r="B9" s="27" t="s">
        <v>717</v>
      </c>
      <c r="C9" s="98" t="s">
        <v>718</v>
      </c>
      <c r="D9" s="60">
        <f>SUMIFS(Enseignement!$Z$9:$Z$131,Enseignement!$J$9:$J$131,Paramétrage!$D$6,Enseignement!$AK$9:$AK$131,1)*Paramétrage!$G$6+SUMIFS(Enseignement!$Z$9:$Z$131,Enseignement!$J$9:$J$131,Paramétrage!$D$7,Enseignement!$AK$9:$AK$131,1)*Paramétrage!$G$7+SUMIFS(Enseignement!$Z$9:$Z$131,Enseignement!$J$9:$J$131,Paramétrage!$D$8,Enseignement!$AK$9:$AK$131,1)*Paramétrage!$G$8+SUMIFS(Enseignement!$Z$9:$Z$131,Enseignement!$J$9:$J$131,Paramétrage!$D$10,Enseignement!$AK$9:$AK$131,1)*Paramétrage!$G$10+SUMIFS(Enseignement!$Z$9:$Z$131,Enseignement!$J$9:$J$131,Paramétrage!$D$11,Enseignement!$AK$9:$AK$131,1)*Paramétrage!$G$11+SUMIFS(Enseignement!$Z$9:$Z$131,Enseignement!$J$9:$J$131,Paramétrage!$D$13,Enseignement!$AK$9:$AK$131,1)*Paramétrage!$G$13+SUMIFS(Enseignement!$Z$9:$Z$131,Enseignement!$J$9:$J$131,Paramétrage!$D$14,Enseignement!$AK$9:$AK$131,1)*Paramétrage!$G$14+SUMIFS(Enseignement!$Z$9:$Z$131,Enseignement!$J$9:$J$131,Paramétrage!$D$16,Enseignement!$AK$9:$AK$131,1)*Paramétrage!$G$16+SUMIFS(Enseignement!$Z$9:$Z$131,Enseignement!$J$9:$J$131,Paramétrage!$D$17,Enseignement!$AK$9:$AK$131,1)*Paramétrage!$G$17+SUMIFS(Enseignement!$Z$9:$Z$131,Enseignement!$J$9:$J$131,Paramétrage!$D$19,Enseignement!$AK$9:$AK$131,1)*Paramétrage!$G$19+SUMIFS(Enseignement!$Z$9:$Z$131,Enseignement!$J$9:$J$131,Paramétrage!$D$20,Enseignement!$AK$9:$AK$131,1)*Paramétrage!$G$20+SUMIFS(Enseignement!$Z$9:$Z$131,Enseignement!$J$9:$J$131,Paramétrage!$D$23,Enseignement!$AK$9:$AK$131,1)*Paramétrage!$G$23+SUMIFS(Enseignement!$Z$9:$Z$131,Enseignement!$J$9:$J$131,Paramétrage!$D$24,Enseignement!$AK$9:$AK$131,1)*Paramétrage!$G$24+SUMIFS(Enseignement!$Z$9:$Z$131,Enseignement!$J$9:$J$131,Paramétrage!$D$26,Enseignement!$AK$9:$AK$131,1)*Paramétrage!$G$26+SUMIFS(Enseignement!$Z$9:$Z$131,Enseignement!$J$9:$J$131,Paramétrage!$D$27,Enseignement!$AK$9:$AK$131,1)*Paramétrage!$G$27</f>
        <v>0</v>
      </c>
      <c r="E9" s="57">
        <f>SUMIFS(Enseignement!$Z$9:$Z$131,Enseignement!$J$9:$J$131,Paramétrage!$D$6,Enseignement!$AK$9:$AK$131,2)*Paramétrage!$G$6+SUMIFS(Enseignement!$Z$9:$Z$131,Enseignement!$J$9:$J$131,Paramétrage!$D$7,Enseignement!$AK$9:$AK$131,2)*Paramétrage!$G$7+SUMIFS(Enseignement!$Z$9:$Z$131,Enseignement!$J$9:$J$131,Paramétrage!$D$8,Enseignement!$AK$9:$AK$131,2)*Paramétrage!$G$8+SUMIFS(Enseignement!$Z$9:$Z$131,Enseignement!$J$9:$J$131,Paramétrage!$D$10,Enseignement!$AK$9:$AK$131,2)*Paramétrage!$G$10+SUMIFS(Enseignement!$Z$9:$Z$131,Enseignement!$J$9:$J$131,Paramétrage!$D$11,Enseignement!$AK$9:$AK$131,2)*Paramétrage!$G$11+SUMIFS(Enseignement!$Z$9:$Z$131,Enseignement!$J$9:$J$131,Paramétrage!$D$13,Enseignement!$AK$9:$AK$131,2)*Paramétrage!$G$13+SUMIFS(Enseignement!$Z$9:$Z$131,Enseignement!$J$9:$J$131,Paramétrage!$D$14,Enseignement!$AK$9:$AK$131,2)*Paramétrage!$G$14+SUMIFS(Enseignement!$Z$9:$Z$131,Enseignement!$J$9:$J$131,Paramétrage!$D$16,Enseignement!$AK$9:$AK$131,2)*Paramétrage!$G$16+SUMIFS(Enseignement!$Z$9:$Z$131,Enseignement!$J$9:$J$131,Paramétrage!$D$17,Enseignement!$AK$9:$AK$131,2)*Paramétrage!$G$17+SUMIFS(Enseignement!$Z$9:$Z$131,Enseignement!$J$9:$J$131,Paramétrage!$D$19,Enseignement!$AK$9:$AK$131,2)*Paramétrage!$G$19+SUMIFS(Enseignement!$Z$9:$Z$131,Enseignement!$J$9:$J$131,Paramétrage!$D$20,Enseignement!$AK$9:$AK$131,2)*Paramétrage!$G$20+SUMIFS(Enseignement!$Z$9:$Z$131,Enseignement!$J$9:$J$131,Paramétrage!$D$23,Enseignement!$AK$9:$AK$131,2)*Paramétrage!$G$23+SUMIFS(Enseignement!$Z$9:$Z$131,Enseignement!$J$9:$J$131,Paramétrage!$D$24,Enseignement!$AK$9:$AK$131,2)*Paramétrage!$G$24+SUMIFS(Enseignement!$Z$9:$Z$131,Enseignement!$J$9:$J$131,Paramétrage!$D$26,Enseignement!$AK$9:$AK$131,2)*Paramétrage!$G$26+SUMIFS(Enseignement!$Z$9:$Z$131,Enseignement!$J$9:$J$131,Paramétrage!$D$27,Enseignement!$AK$9:$AK$131,2)*Paramétrage!$G$27</f>
        <v>34</v>
      </c>
      <c r="F9" s="62">
        <f>SUMIFS(Enseignement!$Z$9:$Z$131,Enseignement!$J$9:$J$131,Paramétrage!$D$6,Enseignement!$AK$9:$AK$131,3)*Paramétrage!$G$6+SUMIFS(Enseignement!$Z$9:$Z$131,Enseignement!$J$9:$J$131,Paramétrage!$D$7,Enseignement!$AK$9:$AK$131,3)*Paramétrage!$G$7+SUMIFS(Enseignement!$Z$9:$Z$131,Enseignement!$J$9:$J$131,Paramétrage!$D$8,Enseignement!$AK$9:$AK$131,3)*Paramétrage!$G$8+SUMIFS(Enseignement!$Z$9:$Z$131,Enseignement!$J$9:$J$131,Paramétrage!$D$10,Enseignement!$AK$9:$AK$131,3)*Paramétrage!$G$10+SUMIFS(Enseignement!$Z$9:$Z$131,Enseignement!$J$9:$J$131,Paramétrage!$D$11,Enseignement!$AK$9:$AK$131,3)*Paramétrage!$G$11+SUMIFS(Enseignement!$Z$9:$Z$131,Enseignement!$J$9:$J$131,Paramétrage!$D$13,Enseignement!$AK$9:$AK$131,3)*Paramétrage!$G$13+SUMIFS(Enseignement!$Z$9:$Z$131,Enseignement!$J$9:$J$131,Paramétrage!$D$14,Enseignement!$AK$9:$AK$131,3)*Paramétrage!$G$14+SUMIFS(Enseignement!$Z$9:$Z$131,Enseignement!$J$9:$J$131,Paramétrage!$D$16,Enseignement!$AK$9:$AK$131,3)*Paramétrage!$G$16+SUMIFS(Enseignement!$Z$9:$Z$131,Enseignement!$J$9:$J$131,Paramétrage!$D$17,Enseignement!$AK$9:$AK$131,3)*Paramétrage!$G$17+SUMIFS(Enseignement!$Z$9:$Z$131,Enseignement!$J$9:$J$131,Paramétrage!$D$19,Enseignement!$AK$9:$AK$131,3)*Paramétrage!$G$19+SUMIFS(Enseignement!$Z$9:$Z$131,Enseignement!$J$9:$J$131,Paramétrage!$D$20,Enseignement!$AK$9:$AK$131,3)*Paramétrage!$G$20+SUMIFS(Enseignement!$Z$9:$Z$131,Enseignement!$J$9:$J$131,Paramétrage!$D$23,Enseignement!$AK$9:$AK$131,3)*Paramétrage!$G$23+SUMIFS(Enseignement!$Z$9:$Z$131,Enseignement!$J$9:$J$131,Paramétrage!$D$24,Enseignement!$AK$9:$AK$131,3)*Paramétrage!$G$24+SUMIFS(Enseignement!$Z$9:$Z$131,Enseignement!$J$9:$J$131,Paramétrage!$D$26,Enseignement!$AK$9:$AK$131,3)*Paramétrage!$G$26+SUMIFS(Enseignement!$Z$9:$Z$131,Enseignement!$J$9:$J$131,Paramétrage!$D$27,Enseignement!$AK$9:$AK$131,3)*Paramétrage!$G$27</f>
        <v>0</v>
      </c>
      <c r="G9" s="114">
        <f>H9+I9</f>
        <v>34</v>
      </c>
      <c r="H9" s="115">
        <f>IF($D$3=0,0,D9+F9*($D$3-$D$4)/$D$3)</f>
        <v>0</v>
      </c>
      <c r="I9" s="126">
        <f>IF($D$3=0,0,E9+F9*$D$4/$D$3)</f>
        <v>34</v>
      </c>
    </row>
    <row r="10" spans="1:9" ht="13.9" customHeight="1" x14ac:dyDescent="0.25">
      <c r="A10" s="872"/>
      <c r="B10" s="27" t="s">
        <v>719</v>
      </c>
      <c r="C10" s="98" t="s">
        <v>720</v>
      </c>
      <c r="D10" s="60">
        <f>SUMIFS(Enseignement!$AA$9:$AA$131,Enseignement!$J$9:$J$131,Paramétrage!$D$6,Enseignement!$AK$9:$AK$131,1)*Paramétrage!$G$6+SUMIFS(Enseignement!$AA$9:$AA$131,Enseignement!$J$9:$J$131,Paramétrage!$D$7,Enseignement!$AK$9:$AK$131,1)*Paramétrage!$G$7+SUMIFS(Enseignement!$AA$9:$AA$131,Enseignement!$J$9:$J$131,Paramétrage!$D$8,Enseignement!$AK$9:$AK$131,1)*Paramétrage!$G$8+SUMIFS(Enseignement!$AA$9:$AA$131,Enseignement!$J$9:$J$131,Paramétrage!$D$10,Enseignement!$AK$9:$AK$131,1)*Paramétrage!$G$10+SUMIFS(Enseignement!$AA$9:$AA$131,Enseignement!$J$9:$J$131,Paramétrage!$D$11,Enseignement!$AK$9:$AK$131,1)*Paramétrage!$G$11+SUMIFS(Enseignement!$AA$9:$AA$131,Enseignement!$J$9:$J$131,Paramétrage!$D$13,Enseignement!$AK$9:$AK$131,1)*Paramétrage!$G$13+SUMIFS(Enseignement!$AA$9:$AA$131,Enseignement!$J$9:$J$131,Paramétrage!$D$14,Enseignement!$AK$9:$AK$131,1)*Paramétrage!$G$14+SUMIFS(Enseignement!$AA$9:$AA$131,Enseignement!$J$9:$J$131,Paramétrage!$D$16,Enseignement!$AK$9:$AK$131,1)*Paramétrage!$G$16+SUMIFS(Enseignement!$AA$9:$AA$131,Enseignement!$J$9:$J$131,Paramétrage!$D$17,Enseignement!$AK$9:$AK$131,1)*Paramétrage!$G$17+SUMIFS(Enseignement!$AA$9:$AA$131,Enseignement!$J$9:$J$131,Paramétrage!$D$19,Enseignement!$AK$9:$AK$131,1)*Paramétrage!$G$19+SUMIFS(Enseignement!$AA$9:$AA$131,Enseignement!$J$9:$J$131,Paramétrage!$D$20,Enseignement!$AK$9:$AK$131,1)*Paramétrage!$G$20+SUMIFS(Enseignement!$AA$9:$AA$131,Enseignement!$J$9:$J$131,Paramétrage!$D$23,Enseignement!$AK$9:$AK$131,1)*Paramétrage!$G$23+SUMIFS(Enseignement!$AA$9:$AA$131,Enseignement!$J$9:$J$131,Paramétrage!$D$24,Enseignement!$AK$9:$AK$131,1)*Paramétrage!$G$24+SUMIFS(Enseignement!$AA$9:$AA$131,Enseignement!$J$9:$J$131,Paramétrage!$D$26,Enseignement!$AK$9:$AK$131,1)*Paramétrage!$G$26+SUMIFS(Enseignement!$AA$9:$AA$131,Enseignement!$J$9:$J$131,Paramétrage!$D$27,Enseignement!$AK$9:$AK$131,1)*Paramétrage!$G$27</f>
        <v>0</v>
      </c>
      <c r="E10" s="57">
        <f>SUMIFS(Enseignement!$AA$9:$AA$131,Enseignement!$J$9:$J$131,Paramétrage!$D$6,Enseignement!$AK$9:$AK$131,2)*Paramétrage!$G$6+SUMIFS(Enseignement!$AA$9:$AA$131,Enseignement!$J$9:$J$131,Paramétrage!$D$7,Enseignement!$AK$9:$AK$131,2)*Paramétrage!$G$7+SUMIFS(Enseignement!$AA$9:$AA$131,Enseignement!$J$9:$J$131,Paramétrage!$D$8,Enseignement!$AK$9:$AK$131,2)*Paramétrage!$G$8+SUMIFS(Enseignement!$AA$9:$AA$131,Enseignement!$J$9:$J$131,Paramétrage!$D$10,Enseignement!$AK$9:$AK$131,2)*Paramétrage!$G$10+SUMIFS(Enseignement!$AA$9:$AA$131,Enseignement!$J$9:$J$131,Paramétrage!$D$11,Enseignement!$AK$9:$AK$131,2)*Paramétrage!$G$11+SUMIFS(Enseignement!$AA$9:$AA$131,Enseignement!$J$9:$J$131,Paramétrage!$D$13,Enseignement!$AK$9:$AK$131,2)*Paramétrage!$G$13+SUMIFS(Enseignement!$AA$9:$AA$131,Enseignement!$J$9:$J$131,Paramétrage!$D$14,Enseignement!$AK$9:$AK$131,2)*Paramétrage!$G$14+SUMIFS(Enseignement!$AA$9:$AA$131,Enseignement!$J$9:$J$131,Paramétrage!$D$16,Enseignement!$AK$9:$AK$131,2)*Paramétrage!$G$16+SUMIFS(Enseignement!$AA$9:$AA$131,Enseignement!$J$9:$J$131,Paramétrage!$D$17,Enseignement!$AK$9:$AK$131,2)*Paramétrage!$G$17+SUMIFS(Enseignement!$AA$9:$AA$131,Enseignement!$J$9:$J$131,Paramétrage!$D$19,Enseignement!$AK$9:$AK$131,2)*Paramétrage!$G$19+SUMIFS(Enseignement!$AA$9:$AA$131,Enseignement!$J$9:$J$131,Paramétrage!$D$20,Enseignement!$AK$9:$AK$131,2)*Paramétrage!$G$20+SUMIFS(Enseignement!$AA$9:$AA$131,Enseignement!$J$9:$J$131,Paramétrage!$D$23,Enseignement!$AK$9:$AK$131,2)*Paramétrage!$G$23+SUMIFS(Enseignement!$AA$9:$AA$131,Enseignement!$J$9:$J$131,Paramétrage!$D$24,Enseignement!$AK$9:$AK$131,2)*Paramétrage!$G$24+SUMIFS(Enseignement!$AA$9:$AA$131,Enseignement!$J$9:$J$131,Paramétrage!$D$26,Enseignement!$AK$9:$AK$131,2)*Paramétrage!$G$26+SUMIFS(Enseignement!$AA$9:$AA$131,Enseignement!$J$9:$J$131,Paramétrage!$D$27,Enseignement!$AK$9:$AK$131,2)*Paramétrage!$G$27</f>
        <v>46</v>
      </c>
      <c r="F10" s="62">
        <f>SUMIFS(Enseignement!$AA$9:$AA$131,Enseignement!$J$9:$J$131,Paramétrage!$D$6,Enseignement!$AK$9:$AK$131,3)*Paramétrage!$G$6+SUMIFS(Enseignement!$AA$9:$AA$131,Enseignement!$J$9:$J$131,Paramétrage!$D$7,Enseignement!$AK$9:$AK$131,3)*Paramétrage!$G$7+SUMIFS(Enseignement!$AA$9:$AA$131,Enseignement!$J$9:$J$131,Paramétrage!$D$8,Enseignement!$AK$9:$AK$131,3)*Paramétrage!$G$8+SUMIFS(Enseignement!$AA$9:$AA$131,Enseignement!$J$9:$J$131,Paramétrage!$D$10,Enseignement!$AK$9:$AK$131,3)*Paramétrage!$G$10+SUMIFS(Enseignement!$AA$9:$AA$131,Enseignement!$J$9:$J$131,Paramétrage!$D$11,Enseignement!$AK$9:$AK$131,3)*Paramétrage!$G$11+SUMIFS(Enseignement!$AA$9:$AA$131,Enseignement!$J$9:$J$131,Paramétrage!$D$13,Enseignement!$AK$9:$AK$131,3)*Paramétrage!$G$13+SUMIFS(Enseignement!$AA$9:$AA$131,Enseignement!$J$9:$J$131,Paramétrage!$D$14,Enseignement!$AK$9:$AK$131,3)*Paramétrage!$G$14+SUMIFS(Enseignement!$AA$9:$AA$131,Enseignement!$J$9:$J$131,Paramétrage!$D$16,Enseignement!$AK$9:$AK$131,3)*Paramétrage!$G$16+SUMIFS(Enseignement!$AA$9:$AA$131,Enseignement!$J$9:$J$131,Paramétrage!$D$17,Enseignement!$AK$9:$AK$131,3)*Paramétrage!$G$17+SUMIFS(Enseignement!$AA$9:$AA$131,Enseignement!$J$9:$J$131,Paramétrage!$D$19,Enseignement!$AK$9:$AK$131,3)*Paramétrage!$G$19+SUMIFS(Enseignement!$AA$9:$AA$131,Enseignement!$J$9:$J$131,Paramétrage!$D$20,Enseignement!$AK$9:$AK$131,3)*Paramétrage!$G$20+SUMIFS(Enseignement!$AA$9:$AA$131,Enseignement!$J$9:$J$131,Paramétrage!$D$23,Enseignement!$AK$9:$AK$131,3)*Paramétrage!$G$23+SUMIFS(Enseignement!$AA$9:$AA$131,Enseignement!$J$9:$J$131,Paramétrage!$D$24,Enseignement!$AK$9:$AK$131,3)*Paramétrage!$G$24+SUMIFS(Enseignement!$AA$9:$AA$131,Enseignement!$J$9:$J$131,Paramétrage!$D$26,Enseignement!$AK$9:$AK$131,3)*Paramétrage!$G$26+SUMIFS(Enseignement!$AA$9:$AA$131,Enseignement!$J$9:$J$131,Paramétrage!$D$27,Enseignement!$AK$9:$AK$131,3)*Paramétrage!$G$27</f>
        <v>0</v>
      </c>
      <c r="G10" s="114">
        <f>H10+I10</f>
        <v>46</v>
      </c>
      <c r="H10" s="115">
        <f>IF($D$3=0,0,D10+F10*($D$3-$D$4)/$D$3)</f>
        <v>0</v>
      </c>
      <c r="I10" s="126">
        <f>IF($D$3=0,0,E10+F10*$D$4/$D$3)</f>
        <v>46</v>
      </c>
    </row>
    <row r="11" spans="1:9" ht="13.5" thickBot="1" x14ac:dyDescent="0.3">
      <c r="A11" s="872"/>
      <c r="B11" s="99" t="s">
        <v>721</v>
      </c>
      <c r="C11" s="100"/>
      <c r="D11" s="110">
        <f t="shared" ref="D11:I11" si="0">SUM(D7:D10)</f>
        <v>0</v>
      </c>
      <c r="E11" s="111">
        <f t="shared" si="0"/>
        <v>124</v>
      </c>
      <c r="F11" s="112">
        <f t="shared" si="0"/>
        <v>0</v>
      </c>
      <c r="G11" s="139">
        <f t="shared" si="0"/>
        <v>124</v>
      </c>
      <c r="H11" s="128">
        <f t="shared" si="0"/>
        <v>0</v>
      </c>
      <c r="I11" s="129">
        <f t="shared" si="0"/>
        <v>124</v>
      </c>
    </row>
    <row r="12" spans="1:9" ht="13" x14ac:dyDescent="0.25">
      <c r="A12" s="872"/>
      <c r="B12" s="23" t="s">
        <v>722</v>
      </c>
      <c r="C12" s="101" t="s">
        <v>723</v>
      </c>
      <c r="D12" s="64"/>
      <c r="E12" s="65"/>
      <c r="F12" s="66"/>
      <c r="G12" s="140"/>
      <c r="H12" s="132"/>
      <c r="I12" s="133"/>
    </row>
    <row r="13" spans="1:9" ht="13" x14ac:dyDescent="0.25">
      <c r="A13" s="872"/>
      <c r="B13" s="27" t="s">
        <v>724</v>
      </c>
      <c r="C13" s="102" t="s">
        <v>725</v>
      </c>
      <c r="D13" s="109">
        <f>SUMIFS(Enseignement!$AB$9:$AB$131,Enseignement!$J$9:$J$131,Paramétrage!$D$15,Enseignement!$AK$9:$AK$131,1)*Paramétrage!$G$15</f>
        <v>0</v>
      </c>
      <c r="E13" s="3">
        <f>SUMIFS(Enseignement!$AB$9:$AB$131,Enseignement!$J$9:$J$131,Paramétrage!$D$15,Enseignement!$AK$9:$AK$131,2)*Paramétrage!$G$15</f>
        <v>0</v>
      </c>
      <c r="F13" s="113">
        <f>SUMIFS(Enseignement!$AB$9:$AB$131,Enseignement!$J$9:$J$131,Paramétrage!$D$15,Enseignement!$AK$9:$AK$131,3)*Paramétrage!$G$15</f>
        <v>0</v>
      </c>
      <c r="G13" s="114">
        <f>H13+I13</f>
        <v>0</v>
      </c>
      <c r="H13" s="115">
        <f>IF($D$3=0,0,D13+F13*($D$3-$D$4)/$D$3)</f>
        <v>0</v>
      </c>
      <c r="I13" s="126">
        <f>IF($D$3=0,0,E13+F13*$D$4/$D$3)</f>
        <v>0</v>
      </c>
    </row>
    <row r="14" spans="1:9" ht="13.9" customHeight="1" x14ac:dyDescent="0.25">
      <c r="A14" s="872"/>
      <c r="B14" s="27" t="s">
        <v>726</v>
      </c>
      <c r="C14" s="98" t="s">
        <v>727</v>
      </c>
      <c r="D14" s="109">
        <f>SUMIFS(Enseignement!$AB$9:$AB$131,Enseignement!$J$9:$J$131,Paramétrage!$D$18,Enseignement!$AK$9:$AK$131,1)*Paramétrage!$G$18</f>
        <v>0</v>
      </c>
      <c r="E14" s="3">
        <f>SUMIFS(Enseignement!$AB$9:$AB$131,Enseignement!$J$9:$J$131,Paramétrage!$D$18,Enseignement!$AK$9:$AK$131,2)*Paramétrage!$G$18</f>
        <v>0</v>
      </c>
      <c r="F14" s="113">
        <f>SUMIFS(Enseignement!$AB$9:$AB$131,Enseignement!$J$9:$J$131,Paramétrage!$D$18,Enseignement!$AK$9:$AK$131,3)*Paramétrage!$G$18</f>
        <v>0</v>
      </c>
      <c r="G14" s="114">
        <f>H14+I14</f>
        <v>0</v>
      </c>
      <c r="H14" s="115">
        <f>IF($D$3=0,0,D14+F14*($D$3-$D$4)/$D$3)</f>
        <v>0</v>
      </c>
      <c r="I14" s="126">
        <f>IF($D$3=0,0,E14+F14*$D$4/$D$3)</f>
        <v>0</v>
      </c>
    </row>
    <row r="15" spans="1:9" ht="13.9" customHeight="1" x14ac:dyDescent="0.25">
      <c r="A15" s="872"/>
      <c r="B15" s="27" t="s">
        <v>728</v>
      </c>
      <c r="C15" s="98" t="s">
        <v>729</v>
      </c>
      <c r="D15" s="109">
        <f>SUMIFS(Enseignement!$AB$9:$AB$131,Enseignement!$J$9:$J$131,Paramétrage!$D$9,Enseignement!$AK$9:$AK$131,1)*Paramétrage!$G$9</f>
        <v>0</v>
      </c>
      <c r="E15" s="3">
        <f>SUMIFS(Enseignement!$AB$9:$AB$131,Enseignement!$J$9:$J$131,Paramétrage!$D$9,Enseignement!$AK$9:$AK$131,2)*Paramétrage!$G$9</f>
        <v>0</v>
      </c>
      <c r="F15" s="113">
        <f>SUMIFS(Enseignement!$AB$9:$AB$131,Enseignement!$J$9:$J$131,Paramétrage!$D$9,Enseignement!$AK$9:$AK$131,3)*Paramétrage!$G$9</f>
        <v>0</v>
      </c>
      <c r="G15" s="114">
        <f>H15+I15</f>
        <v>0</v>
      </c>
      <c r="H15" s="115">
        <f>IF($D$3=0,0,D15+F15*($D$3-$D$4)/$D$3)</f>
        <v>0</v>
      </c>
      <c r="I15" s="126">
        <f>IF($D$3=0,0,E15+F15*$D$4/$D$3)</f>
        <v>0</v>
      </c>
    </row>
    <row r="16" spans="1:9" ht="13.9" customHeight="1" x14ac:dyDescent="0.25">
      <c r="A16" s="872"/>
      <c r="B16" s="27" t="s">
        <v>730</v>
      </c>
      <c r="C16" s="98" t="s">
        <v>731</v>
      </c>
      <c r="D16" s="109">
        <f>SUMIFS(Enseignement!$AB$9:$AB$131,Enseignement!$J$9:$J$131,Paramétrage!$D$12,Enseignement!$AK$9:$AK$131,1)*Paramétrage!$G$12</f>
        <v>0</v>
      </c>
      <c r="E16" s="3">
        <f>SUMIFS(Enseignement!$AB$9:$AB$131,Enseignement!$J$9:$J$131,Paramétrage!$D$12,Enseignement!$AK$9:$AK$131,2)*Paramétrage!$G$12</f>
        <v>0</v>
      </c>
      <c r="F16" s="113">
        <f>SUMIFS(Enseignement!$AB$9:$AB$131,Enseignement!$J$9:$J$131,Paramétrage!$D$12,Enseignement!$AK$9:$AK$131,3)*Paramétrage!$G$12</f>
        <v>0</v>
      </c>
      <c r="G16" s="114">
        <f>H16+I16</f>
        <v>0</v>
      </c>
      <c r="H16" s="115">
        <f>IF($D$3=0,0,D16+F16*($D$3-$D$4)/$D$3)</f>
        <v>0</v>
      </c>
      <c r="I16" s="126">
        <f>IF($D$3=0,0,E16+F16*$D$4/$D$3)</f>
        <v>0</v>
      </c>
    </row>
    <row r="17" spans="1:9" ht="13.9" customHeight="1" x14ac:dyDescent="0.25">
      <c r="A17" s="872"/>
      <c r="B17" s="27" t="s">
        <v>732</v>
      </c>
      <c r="C17" s="98" t="s">
        <v>733</v>
      </c>
      <c r="D17" s="109">
        <f>SUMIFS(Enseignement!$AB$9:$AB$131,Enseignement!$J$9:$J$131,Paramétrage!$D$22,Enseignement!$AK$9:$AK$131,1)*Paramétrage!$G$22+SUMIFS(Enseignement!$AB$9:$AB$131,Enseignement!$J$9:$J$131,Paramétrage!$D$25,Enseignement!$AK$9:$AK$131,1)*Paramétrage!$G$25</f>
        <v>0</v>
      </c>
      <c r="E17" s="3">
        <f>SUMIFS(Enseignement!$AB$9:$AB$131,Enseignement!$J$9:$J$131,Paramétrage!$D$22,Enseignement!$AK$9:$AK$131,2)*Paramétrage!$G$22+SUMIFS(Enseignement!$AB$9:$AB$131,Enseignement!$J$9:$J$131,Paramétrage!$D$25,Enseignement!$AK$9:$AK$131,2)*Paramétrage!$G$25</f>
        <v>0</v>
      </c>
      <c r="F17" s="113">
        <f>SUMIFS(Enseignement!$AB$9:$AB$131,Enseignement!$J$9:$J$131,Paramétrage!$D$22,Enseignement!$AK$9:$AK$131,3)*Paramétrage!$G$22+SUMIFS(Enseignement!$AB$9:$AB$131,Enseignement!$J$9:$J$131,Paramétrage!$D$25,Enseignement!$AK$9:$AK$131,3)*Paramétrage!$G$25</f>
        <v>0</v>
      </c>
      <c r="G17" s="114">
        <f>H17+I17</f>
        <v>0</v>
      </c>
      <c r="H17" s="115">
        <f>IF($D$3=0,0,D17+F17*($D$3-$D$4)/$D$3)</f>
        <v>0</v>
      </c>
      <c r="I17" s="126">
        <f>IF($D$3=0,0,E17+F17*$D$4/$D$3)</f>
        <v>0</v>
      </c>
    </row>
    <row r="18" spans="1:9" ht="13.5" thickBot="1" x14ac:dyDescent="0.3">
      <c r="A18" s="872"/>
      <c r="B18" s="99" t="s">
        <v>734</v>
      </c>
      <c r="C18" s="100"/>
      <c r="D18" s="110">
        <f t="shared" ref="D18:I18" si="1">SUM(D13:D17)</f>
        <v>0</v>
      </c>
      <c r="E18" s="111">
        <f t="shared" si="1"/>
        <v>0</v>
      </c>
      <c r="F18" s="112">
        <f t="shared" si="1"/>
        <v>0</v>
      </c>
      <c r="G18" s="116">
        <f t="shared" si="1"/>
        <v>0</v>
      </c>
      <c r="H18" s="117">
        <f t="shared" si="1"/>
        <v>0</v>
      </c>
      <c r="I18" s="134">
        <f t="shared" si="1"/>
        <v>0</v>
      </c>
    </row>
    <row r="19" spans="1:9" ht="13" x14ac:dyDescent="0.25">
      <c r="A19" s="872"/>
      <c r="B19" s="23" t="s">
        <v>735</v>
      </c>
      <c r="C19" s="101" t="s">
        <v>736</v>
      </c>
      <c r="D19" s="64"/>
      <c r="E19" s="65"/>
      <c r="F19" s="66"/>
      <c r="G19" s="118"/>
      <c r="H19" s="119"/>
      <c r="I19" s="131"/>
    </row>
    <row r="20" spans="1:9" ht="13" x14ac:dyDescent="0.25">
      <c r="A20" s="872"/>
      <c r="B20" s="27" t="s">
        <v>737</v>
      </c>
      <c r="C20" s="98" t="s">
        <v>122</v>
      </c>
      <c r="D20" s="68"/>
      <c r="E20" s="69"/>
      <c r="F20" s="67">
        <f>'Budget détaillé prev'!G28</f>
        <v>15</v>
      </c>
      <c r="G20" s="120">
        <f>H20+I20</f>
        <v>15</v>
      </c>
      <c r="H20" s="121">
        <f>IF($D$3=0,0,D20+F20*($D$3-$D$4)/$D$3)</f>
        <v>0</v>
      </c>
      <c r="I20" s="127">
        <f>IF($D$3=0,0,E20+F20*$D$4/$D$3)</f>
        <v>15</v>
      </c>
    </row>
    <row r="21" spans="1:9" ht="13" x14ac:dyDescent="0.25">
      <c r="A21" s="872"/>
      <c r="B21" s="27" t="s">
        <v>738</v>
      </c>
      <c r="C21" s="98" t="s">
        <v>739</v>
      </c>
      <c r="D21" s="68"/>
      <c r="E21" s="63">
        <f>'Budget détaillé prev'!G29</f>
        <v>26</v>
      </c>
      <c r="F21" s="70"/>
      <c r="G21" s="120">
        <f>H21+I21</f>
        <v>26</v>
      </c>
      <c r="H21" s="121">
        <f>IF($D$3=0,0,D21+F21*($D$3-$D$4)/$D$3)</f>
        <v>0</v>
      </c>
      <c r="I21" s="127">
        <f>IF($D$3=0,0,E21+F21*$D$4/$D$3)</f>
        <v>26</v>
      </c>
    </row>
    <row r="22" spans="1:9" ht="13" x14ac:dyDescent="0.25">
      <c r="A22" s="872"/>
      <c r="B22" s="27" t="s">
        <v>740</v>
      </c>
      <c r="C22" s="103" t="s">
        <v>124</v>
      </c>
      <c r="D22" s="68"/>
      <c r="E22" s="69"/>
      <c r="F22" s="67">
        <f>'Budget détaillé prev'!G30</f>
        <v>0</v>
      </c>
      <c r="G22" s="120">
        <f>H22+I22</f>
        <v>0</v>
      </c>
      <c r="H22" s="121">
        <f>IF($D$3=0,0,D22+F22*($D$3-$D$4)/$D$3)</f>
        <v>0</v>
      </c>
      <c r="I22" s="127">
        <f>IF($D$3=0,0,E22+F22*$D$4/$D$3)</f>
        <v>0</v>
      </c>
    </row>
    <row r="23" spans="1:9" ht="13.5" thickBot="1" x14ac:dyDescent="0.3">
      <c r="A23" s="872"/>
      <c r="B23" s="99" t="s">
        <v>741</v>
      </c>
      <c r="C23" s="100"/>
      <c r="D23" s="71">
        <f t="shared" ref="D23:I23" si="2">SUM(D19:D22)</f>
        <v>0</v>
      </c>
      <c r="E23" s="72">
        <f t="shared" si="2"/>
        <v>26</v>
      </c>
      <c r="F23" s="73">
        <f t="shared" si="2"/>
        <v>15</v>
      </c>
      <c r="G23" s="122">
        <f t="shared" si="2"/>
        <v>41</v>
      </c>
      <c r="H23" s="123">
        <f t="shared" si="2"/>
        <v>0</v>
      </c>
      <c r="I23" s="130">
        <f t="shared" si="2"/>
        <v>41</v>
      </c>
    </row>
    <row r="24" spans="1:9" ht="13.5" thickBot="1" x14ac:dyDescent="0.3">
      <c r="A24" s="872"/>
      <c r="B24" s="104" t="s">
        <v>742</v>
      </c>
      <c r="C24" s="105"/>
      <c r="D24" s="74">
        <f t="shared" ref="D24:I24" si="3">D23+D18+D11</f>
        <v>0</v>
      </c>
      <c r="E24" s="75">
        <f t="shared" si="3"/>
        <v>150</v>
      </c>
      <c r="F24" s="76">
        <f t="shared" si="3"/>
        <v>15</v>
      </c>
      <c r="G24" s="124">
        <f t="shared" si="3"/>
        <v>165</v>
      </c>
      <c r="H24" s="125">
        <f t="shared" si="3"/>
        <v>0</v>
      </c>
      <c r="I24" s="135">
        <f t="shared" si="3"/>
        <v>165</v>
      </c>
    </row>
    <row r="27" spans="1:9" ht="13" x14ac:dyDescent="0.25">
      <c r="A27" s="873" t="s">
        <v>743</v>
      </c>
      <c r="C27" s="95" t="s">
        <v>79</v>
      </c>
      <c r="D27" s="106">
        <f>'Recettes et simulat réel'!E7</f>
        <v>0</v>
      </c>
    </row>
    <row r="28" spans="1:9" ht="13" x14ac:dyDescent="0.25">
      <c r="A28" s="873"/>
      <c r="C28" s="95" t="s">
        <v>83</v>
      </c>
      <c r="D28" s="106">
        <f>'Recettes et simulat réel'!E8</f>
        <v>0</v>
      </c>
    </row>
    <row r="29" spans="1:9" ht="13" thickBot="1" x14ac:dyDescent="0.3">
      <c r="A29" s="873"/>
    </row>
    <row r="30" spans="1:9" ht="13" thickBot="1" x14ac:dyDescent="0.3">
      <c r="A30" s="873"/>
      <c r="B30" s="96"/>
      <c r="C30" s="96"/>
      <c r="D30" s="107" t="s">
        <v>240</v>
      </c>
      <c r="E30" s="91" t="s">
        <v>710</v>
      </c>
      <c r="F30" s="92" t="s">
        <v>711</v>
      </c>
      <c r="G30" s="107" t="s">
        <v>712</v>
      </c>
      <c r="H30" s="90" t="s">
        <v>240</v>
      </c>
      <c r="I30" s="108" t="s">
        <v>710</v>
      </c>
    </row>
    <row r="31" spans="1:9" ht="15.5" x14ac:dyDescent="0.25">
      <c r="A31" s="873"/>
      <c r="B31" s="27" t="s">
        <v>713</v>
      </c>
      <c r="C31" s="97" t="s">
        <v>714</v>
      </c>
      <c r="D31" s="59">
        <f>SUMIFS(Enseignement!$AC$9:$AC$131,Enseignement!$J$9:$J$131,Paramétrage!$D$6,Enseignement!$AK$9:$AK$131,1)*Paramétrage!$G$6+SUMIFS(Enseignement!$AC$9:$AC$131,Enseignement!$J$9:$J$131,Paramétrage!$D$7,Enseignement!$AK$9:$AK$131,1)*Paramétrage!$G$7+SUMIFS(Enseignement!$AC$9:$AC$131,Enseignement!$J$9:$J$131,Paramétrage!$D$8,Enseignement!$AK$9:$AK$131,1)*Paramétrage!$G$8+SUMIFS(Enseignement!$AC$9:$AC$131,Enseignement!$J$9:$J$131,Paramétrage!$D$10,Enseignement!$AK$9:$AK$131,1)*Paramétrage!$G$10+SUMIFS(Enseignement!$AC$9:$AC$131,Enseignement!$J$9:$J$131,Paramétrage!$D$11,Enseignement!$AK$9:$AK$131,1)*Paramétrage!$G$11+SUMIFS(Enseignement!$AC$9:$AC$131,Enseignement!$J$9:$J$131,Paramétrage!$D$13,Enseignement!$AK$9:$AK$131,1)*Paramétrage!$G$13+SUMIFS(Enseignement!$AC$9:$AC$131,Enseignement!$J$9:$J$131,Paramétrage!$D$14,Enseignement!$AK$9:$AK$131,1)*Paramétrage!$G$14+SUMIFS(Enseignement!$AC$9:$AC$131,Enseignement!$J$9:$J$131,Paramétrage!$D$16,Enseignement!$AK$9:$AK$131,1)*Paramétrage!$G$16+SUMIFS(Enseignement!$AC$9:$AC$131,Enseignement!$J$9:$J$131,Paramétrage!$D$17,Enseignement!$AK$9:$AK$131,1)*Paramétrage!$G$17+SUMIFS(Enseignement!$AC$9:$AC$131,Enseignement!$J$9:$J$131,Paramétrage!$D$19,Enseignement!$AK$9:$AK$131,1)*Paramétrage!$G$19+SUMIFS(Enseignement!$AC$9:$AC$131,Enseignement!$J$9:$J$131,Paramétrage!$D$20,Enseignement!$AK$9:$AK$131,1)*Paramétrage!$G$20+SUMIFS(Enseignement!$AC$9:$AC$131,Enseignement!$J$9:$J$131,Paramétrage!$D$23,Enseignement!$AK$9:$AK$131,1)*Paramétrage!$G$23+SUMIFS(Enseignement!$AC$9:$AC$131,Enseignement!$J$9:$J$131,Paramétrage!$D$24,Enseignement!$AK$9:$AK$131,1)*Paramétrage!$G$24+SUMIFS(Enseignement!$AC$9:$AC$131,Enseignement!$J$9:$J$131,Paramétrage!$D$26,Enseignement!$AK$9:$AK$131,1)*Paramétrage!$G$26+SUMIFS(Enseignement!$AC$9:$AC$131,Enseignement!$J$9:$J$131,Paramétrage!$D$27,Enseignement!$AK$9:$AK$131,1)*Paramétrage!$G$27</f>
        <v>0</v>
      </c>
      <c r="E31" s="58">
        <f>SUMIFS(Enseignement!$AC$9:$AC$131,Enseignement!$J$9:$J$131,Paramétrage!$D$6,Enseignement!$AK$9:$AK$131,2)*Paramétrage!$G$6+SUMIFS(Enseignement!$AC$9:$AC$131,Enseignement!$J$9:$J$131,Paramétrage!$D$7,Enseignement!$AK$9:$AK$131,2)*Paramétrage!$G$7+SUMIFS(Enseignement!$AC$9:$AC$131,Enseignement!$J$9:$J$131,Paramétrage!$D$8,Enseignement!$AK$9:$AK$131,2)*Paramétrage!$G$8+SUMIFS(Enseignement!$AC$9:$AC$131,Enseignement!$J$9:$J$131,Paramétrage!$D$10,Enseignement!$AK$9:$AK$131,2)*Paramétrage!$G$10+SUMIFS(Enseignement!$AC$9:$AC$131,Enseignement!$J$9:$J$131,Paramétrage!$D$11,Enseignement!$AK$9:$AK$131,2)*Paramétrage!$G$11+SUMIFS(Enseignement!$AC$9:$AC$131,Enseignement!$J$9:$J$131,Paramétrage!$D$13,Enseignement!$AK$9:$AK$131,2)*Paramétrage!$G$13+SUMIFS(Enseignement!$AC$9:$AC$131,Enseignement!$J$9:$J$131,Paramétrage!$D$14,Enseignement!$AK$9:$AK$131,2)*Paramétrage!$G$14+SUMIFS(Enseignement!$AC$9:$AC$131,Enseignement!$J$9:$J$131,Paramétrage!$D$16,Enseignement!$AK$9:$AK$131,2)*Paramétrage!$G$16+SUMIFS(Enseignement!$AC$9:$AC$131,Enseignement!$J$9:$J$131,Paramétrage!$D$17,Enseignement!$AK$9:$AK$131,2)*Paramétrage!$G$17+SUMIFS(Enseignement!$AC$9:$AC$131,Enseignement!$J$9:$J$131,Paramétrage!$D$19,Enseignement!$AK$9:$AK$131,2)*Paramétrage!$G$19+SUMIFS(Enseignement!$AC$9:$AC$131,Enseignement!$J$9:$J$131,Paramétrage!$D$21,Enseignement!$AK$9:$AK$131,2)*Paramétrage!$G$21+SUMIFS(Enseignement!$AC$9:$AC$131,Enseignement!$J$9:$J$131,Paramétrage!$D$23,Enseignement!$AK$9:$AK$131,2)*Paramétrage!$G$23+SUMIFS(Enseignement!$AC$9:$AC$131,Enseignement!$J$9:$J$131,Paramétrage!$D$24,Enseignement!$AK$9:$AK$131,2)*Paramétrage!$G$24+SUMIFS(Enseignement!$AC$9:$AC$131,Enseignement!$J$9:$J$131,Paramétrage!$D$26,Enseignement!$AK$9:$AK$131,2)*Paramétrage!$G$26+SUMIFS(Enseignement!$AC$9:$AC$131,Enseignement!$J$9:$J$131,Paramétrage!$D$27,Enseignement!$AK$9:$AK$131,2)*Paramétrage!$G$27</f>
        <v>0</v>
      </c>
      <c r="F31" s="61">
        <f>SUMIFS(Enseignement!$AC$9:$AC$131,Enseignement!$J$9:$J$131,Paramétrage!$D$6,Enseignement!$AK$9:$AK$131,3)*Paramétrage!$G$6+SUMIFS(Enseignement!$AC$9:$AC$131,Enseignement!$J$9:$J$131,Paramétrage!$D$7,Enseignement!$AK$9:$AK$131,3)*Paramétrage!$G$7+SUMIFS(Enseignement!$AC$9:$AC$131,Enseignement!$J$9:$J$131,Paramétrage!$D$8,Enseignement!$AK$9:$AK$131,3)*Paramétrage!$G$8+SUMIFS(Enseignement!$AC$9:$AC$131,Enseignement!$J$9:$J$131,Paramétrage!$D$10,Enseignement!$AK$9:$AK$131,3)*Paramétrage!$G$10+SUMIFS(Enseignement!$AC$9:$AC$131,Enseignement!$J$9:$J$131,Paramétrage!$D$11,Enseignement!$AK$9:$AK$131,3)*Paramétrage!$G$11+SUMIFS(Enseignement!$AC$9:$AC$131,Enseignement!$J$9:$J$131,Paramétrage!$D$13,Enseignement!$AK$9:$AK$131,3)*Paramétrage!$G$13+SUMIFS(Enseignement!$AC$9:$AC$131,Enseignement!$J$9:$J$131,Paramétrage!$D$14,Enseignement!$AK$9:$AK$131,3)*Paramétrage!$G$14+SUMIFS(Enseignement!$AC$9:$AC$131,Enseignement!$J$9:$J$131,Paramétrage!$D$16,Enseignement!$AK$9:$AK$131,3)*Paramétrage!$G$16+SUMIFS(Enseignement!$AC$9:$AC$131,Enseignement!$J$9:$J$131,Paramétrage!$D$17,Enseignement!$AK$9:$AK$131,3)*Paramétrage!$G$17+SUMIFS(Enseignement!$AC$9:$AC$131,Enseignement!$J$9:$J$131,Paramétrage!$D$19,Enseignement!$AK$9:$AK$131,3)*Paramétrage!$G$19+SUMIFS(Enseignement!$AC$9:$AC$131,Enseignement!$J$9:$J$131,Paramétrage!$D$20,Enseignement!$AK$9:$AK$131,3)*Paramétrage!$G$20+SUMIFS(Enseignement!$AC$9:$AC$131,Enseignement!$J$9:$J$131,Paramétrage!$D$23,Enseignement!$AK$9:$AK$131,3)*Paramétrage!$G$23+SUMIFS(Enseignement!$AC$9:$AC$131,Enseignement!$J$9:$J$131,Paramétrage!$D$24,Enseignement!$AK$9:$AK$131,3)*Paramétrage!$G$24+SUMIFS(Enseignement!$AC$9:$AC$131,Enseignement!$J$9:$J$131,Paramétrage!$D$26,Enseignement!$AK$9:$AK$131,3)*Paramétrage!$G$26+SUMIFS(Enseignement!$AC$9:$AC$131,Enseignement!$J$9:$J$131,Paramétrage!$D$27,Enseignement!$AK$9:$AK$131,3)*Paramétrage!$G$27</f>
        <v>0</v>
      </c>
      <c r="G31" s="136">
        <f>H31+I31</f>
        <v>0</v>
      </c>
      <c r="H31" s="137">
        <f>IF($D$27=0,0,D31+F31*($D$27-$D$28)/$D$27)</f>
        <v>0</v>
      </c>
      <c r="I31" s="138">
        <f>IF($D$27=0,0,E31+F31*$D$28/$D$27)</f>
        <v>0</v>
      </c>
    </row>
    <row r="32" spans="1:9" ht="15.5" x14ac:dyDescent="0.25">
      <c r="A32" s="873"/>
      <c r="B32" s="27" t="s">
        <v>715</v>
      </c>
      <c r="C32" s="98" t="s">
        <v>716</v>
      </c>
      <c r="D32" s="60">
        <f>SUMIFS(Enseignement!$AD$9:$AD$131,Enseignement!$J$9:$J$131,Paramétrage!$D$6,Enseignement!$AK$9:$AK$131,1)*Paramétrage!$G$6+SUMIFS(Enseignement!$AD$9:$AD$131,Enseignement!$J$9:$J$131,Paramétrage!$D$7,Enseignement!$AK$9:$AK$131,1)*Paramétrage!$G$7+SUMIFS(Enseignement!$AD$9:$AD$131,Enseignement!$J$9:$J$131,Paramétrage!$D$8,Enseignement!$AK$9:$AK$131,1)*Paramétrage!$G$8+SUMIFS(Enseignement!$AD$9:$AD$131,Enseignement!$J$9:$J$131,Paramétrage!$D$10,Enseignement!$AK$9:$AK$131,1)*Paramétrage!$G$10+SUMIFS(Enseignement!$AD$9:$AD$131,Enseignement!$J$9:$J$131,Paramétrage!$D$11,Enseignement!$AK$9:$AK$131,1)*Paramétrage!$G$11+SUMIFS(Enseignement!$AD$9:$AD$131,Enseignement!$J$9:$J$131,Paramétrage!$D$13,Enseignement!$AK$9:$AK$131,1)*Paramétrage!$G$13+SUMIFS(Enseignement!$AD$9:$AD$131,Enseignement!$J$9:$J$131,Paramétrage!$D$14,Enseignement!$AK$9:$AK$131,1)*Paramétrage!$G$14+SUMIFS(Enseignement!$AD$9:$AD$131,Enseignement!$J$9:$J$131,Paramétrage!$D$16,Enseignement!$AK$9:$AK$131,1)*Paramétrage!$G$16+SUMIFS(Enseignement!$AD$9:$AD$131,Enseignement!$J$9:$J$131,Paramétrage!$D$17,Enseignement!$AK$9:$AK$131,1)*Paramétrage!$G$17+SUMIFS(Enseignement!$AD$9:$AD$131,Enseignement!$J$9:$J$131,Paramétrage!$D$19,Enseignement!$AK$9:$AK$131,1)*Paramétrage!$G$19+SUMIFS(Enseignement!$AD$9:$AD$131,Enseignement!$J$9:$J$131,Paramétrage!$D$20,Enseignement!$AK$9:$AK$131,1)*Paramétrage!$G$20+SUMIFS(Enseignement!$AD$9:$AD$131,Enseignement!$J$9:$J$131,Paramétrage!$D$23,Enseignement!$AK$9:$AK$131,1)*Paramétrage!$G$23+SUMIFS(Enseignement!$AD$9:$AD$131,Enseignement!$J$9:$J$131,Paramétrage!$D$24,Enseignement!$AK$9:$AK$131,1)*Paramétrage!$G$24+SUMIFS(Enseignement!$AD$9:$AD$131,Enseignement!$J$9:$J$131,Paramétrage!$D$26,Enseignement!$AK$9:$AK$131,1)*Paramétrage!$G$26+SUMIFS(Enseignement!$AD$9:$AD$131,Enseignement!$J$9:$J$131,Paramétrage!$D$27,Enseignement!$AK$9:$AK$131,1)*Paramétrage!$G$27</f>
        <v>0</v>
      </c>
      <c r="E32" s="57">
        <f>SUMIFS(Enseignement!$AD$9:$AD$131,Enseignement!$J$9:$J$131,Paramétrage!$D$6,Enseignement!$AK$9:$AK$131,2)*Paramétrage!$G$6+SUMIFS(Enseignement!$AD$9:$AD$131,Enseignement!$J$9:$J$131,Paramétrage!$D$7,Enseignement!$AK$9:$AK$131,2)*Paramétrage!$G$7+SUMIFS(Enseignement!$AD$9:$AD$131,Enseignement!$J$9:$J$131,Paramétrage!$D$8,Enseignement!$AK$9:$AK$131,2)*Paramétrage!$G$8+SUMIFS(Enseignement!$AD$9:$AD$131,Enseignement!$J$9:$J$131,Paramétrage!$D$10,Enseignement!$AK$9:$AK$131,2)*Paramétrage!$G$10+SUMIFS(Enseignement!$AD$9:$AD$131,Enseignement!$J$9:$J$131,Paramétrage!$D$11,Enseignement!$AK$9:$AK$131,2)*Paramétrage!$G$11+SUMIFS(Enseignement!$AD$9:$AD$131,Enseignement!$J$9:$J$131,Paramétrage!$D$13,Enseignement!$AK$9:$AK$131,2)*Paramétrage!$G$13+SUMIFS(Enseignement!$AD$9:$AD$131,Enseignement!$J$9:$J$131,Paramétrage!$D$14,Enseignement!$AK$9:$AK$131,2)*Paramétrage!$G$14+SUMIFS(Enseignement!$AD$9:$AD$131,Enseignement!$J$9:$J$131,Paramétrage!$D$16,Enseignement!$AK$9:$AK$131,2)*Paramétrage!$G$16+SUMIFS(Enseignement!$AD$9:$AD$131,Enseignement!$J$9:$J$131,Paramétrage!$D$17,Enseignement!$AK$9:$AK$131,2)*Paramétrage!$G$17+SUMIFS(Enseignement!$AD$9:$AD$131,Enseignement!$J$9:$J$131,Paramétrage!$D$19,Enseignement!$AK$9:$AK$131,2)*Paramétrage!$G$19+SUMIFS(Enseignement!$AD$9:$AD$131,Enseignement!$J$9:$J$131,Paramétrage!$D$20,Enseignement!$AK$9:$AK$131,2)*Paramétrage!$G$20+SUMIFS(Enseignement!$AD$9:$AD$131,Enseignement!$J$9:$J$131,Paramétrage!$D$23,Enseignement!$AK$9:$AK$131,2)*Paramétrage!$G$23+SUMIFS(Enseignement!$AD$9:$AD$131,Enseignement!$J$9:$J$131,Paramétrage!$D$24,Enseignement!$AK$9:$AK$131,2)*Paramétrage!$G$24+SUMIFS(Enseignement!$AD$9:$AD$131,Enseignement!$J$9:$J$131,Paramétrage!$D$26,Enseignement!$AK$9:$AK$131,2)*Paramétrage!$G$26+SUMIFS(Enseignement!$AD$9:$AD$131,Enseignement!$J$9:$J$131,Paramétrage!$D$27,Enseignement!$AK$9:$AK$131,2)*Paramétrage!$G$27</f>
        <v>0</v>
      </c>
      <c r="F32" s="62">
        <f>SUMIFS(Enseignement!$AD$9:$AD$131,Enseignement!$J$9:$J$131,Paramétrage!$D$6,Enseignement!$AK$9:$AK$131,3)*Paramétrage!$G$6+SUMIFS(Enseignement!$AD$9:$AD$131,Enseignement!$J$9:$J$131,Paramétrage!$D$7,Enseignement!$AK$9:$AK$131,3)*Paramétrage!$G$7+SUMIFS(Enseignement!$AD$9:$AD$131,Enseignement!$J$9:$J$131,Paramétrage!$D$8,Enseignement!$AK$9:$AK$131,3)*Paramétrage!$G$8+SUMIFS(Enseignement!$AD$9:$AD$131,Enseignement!$J$9:$J$131,Paramétrage!$D$10,Enseignement!$AK$9:$AK$131,3)*Paramétrage!$G$10+SUMIFS(Enseignement!$AD$9:$AD$131,Enseignement!$J$9:$J$131,Paramétrage!$D$11,Enseignement!$AK$9:$AK$131,3)*Paramétrage!$G$11+SUMIFS(Enseignement!$AD$9:$AD$131,Enseignement!$J$9:$J$131,Paramétrage!$D$13,Enseignement!$AK$9:$AK$131,3)*Paramétrage!$G$13+SUMIFS(Enseignement!$AD$9:$AD$131,Enseignement!$J$9:$J$131,Paramétrage!$D$14,Enseignement!$AK$9:$AK$131,3)*Paramétrage!$G$14+SUMIFS(Enseignement!$AD$9:$AD$131,Enseignement!$J$9:$J$131,Paramétrage!$D$16,Enseignement!$AK$9:$AK$131,3)*Paramétrage!$G$16+SUMIFS(Enseignement!$AD$9:$AD$131,Enseignement!$J$9:$J$131,Paramétrage!$D$17,Enseignement!$AK$9:$AK$131,3)*Paramétrage!$G$17+SUMIFS(Enseignement!$AD$9:$AD$131,Enseignement!$J$9:$J$131,Paramétrage!$D$19,Enseignement!$AK$9:$AK$131,3)*Paramétrage!$G$19+SUMIFS(Enseignement!$AD$9:$AD$131,Enseignement!$J$9:$J$131,Paramétrage!$D$20,Enseignement!$AK$9:$AK$131,3)*Paramétrage!$G$20+SUMIFS(Enseignement!$AD$9:$AD$131,Enseignement!$J$9:$J$131,Paramétrage!$D$23,Enseignement!$AK$9:$AK$131,3)*Paramétrage!$G$23+SUMIFS(Enseignement!$AD$9:$AD$131,Enseignement!$J$9:$J$131,Paramétrage!$D$24,Enseignement!$AK$9:$AK$131,3)*Paramétrage!$G$24+SUMIFS(Enseignement!$AD$9:$AD$131,Enseignement!$J$9:$J$131,Paramétrage!$D$26,Enseignement!$AK$9:$AK$131,3)*Paramétrage!$G$26+SUMIFS(Enseignement!$AD$9:$AD$131,Enseignement!$J$9:$J$131,Paramétrage!$D$27,Enseignement!$AK$9:$AK$131,3)*Paramétrage!$G$27</f>
        <v>0</v>
      </c>
      <c r="G32" s="114">
        <f>H32+I32</f>
        <v>0</v>
      </c>
      <c r="H32" s="115">
        <f>IF($D$27=0,0,D32+F32*($D$27-$D$28)/$D$27)</f>
        <v>0</v>
      </c>
      <c r="I32" s="126">
        <f>IF($D$27=0,0,E32+F32*$D$28/$D$27)</f>
        <v>0</v>
      </c>
    </row>
    <row r="33" spans="1:9" ht="15.5" x14ac:dyDescent="0.25">
      <c r="A33" s="873"/>
      <c r="B33" s="27" t="s">
        <v>717</v>
      </c>
      <c r="C33" s="98" t="s">
        <v>718</v>
      </c>
      <c r="D33" s="60">
        <f>SUMIFS(Enseignement!$AE$9:$AE$131,Enseignement!$J$9:$J$131,Paramétrage!$D$6,Enseignement!$AK$9:$AK$131,1)*Paramétrage!$G$6+SUMIFS(Enseignement!$AE$9:$AE$131,Enseignement!$J$9:$J$131,Paramétrage!$D$7,Enseignement!$AK$9:$AK$131,1)*Paramétrage!$G$7+SUMIFS(Enseignement!$AE$9:$AE$131,Enseignement!$J$9:$J$131,Paramétrage!$D$8,Enseignement!$AK$9:$AK$131,1)*Paramétrage!$G$8+SUMIFS(Enseignement!$AE$9:$AE$131,Enseignement!$J$9:$J$131,Paramétrage!$D$10,Enseignement!$AK$9:$AK$131,1)*Paramétrage!$G$10+SUMIFS(Enseignement!$AE$9:$AE$131,Enseignement!$J$9:$J$131,Paramétrage!$D$11,Enseignement!$AK$9:$AK$131,1)*Paramétrage!$G$11+SUMIFS(Enseignement!$AE$9:$AE$131,Enseignement!$J$9:$J$131,Paramétrage!$D$13,Enseignement!$AK$9:$AK$131,1)*Paramétrage!$G$13+SUMIFS(Enseignement!$AE$9:$AE$131,Enseignement!$J$9:$J$131,Paramétrage!$D$14,Enseignement!$AK$9:$AK$131,1)*Paramétrage!$G$14+SUMIFS(Enseignement!$AE$9:$AE$131,Enseignement!$J$9:$J$131,Paramétrage!$D$16,Enseignement!$AK$9:$AK$131,1)*Paramétrage!$G$16+SUMIFS(Enseignement!$AE$9:$AE$131,Enseignement!$J$9:$J$131,Paramétrage!$D$17,Enseignement!$AK$9:$AK$131,1)*Paramétrage!$G$17+SUMIFS(Enseignement!$AE$9:$AE$131,Enseignement!$J$9:$J$131,Paramétrage!$D$19,Enseignement!$AK$9:$AK$131,1)*Paramétrage!$G$19+SUMIFS(Enseignement!$AE$9:$AE$131,Enseignement!$J$9:$J$131,Paramétrage!$D$20,Enseignement!$AK$9:$AK$131,1)*Paramétrage!$G$20+SUMIFS(Enseignement!$AE$9:$AE$131,Enseignement!$J$9:$J$131,Paramétrage!$D$23,Enseignement!$AK$9:$AK$131,1)*Paramétrage!$G$23+SUMIFS(Enseignement!$AE$9:$AE$131,Enseignement!$J$9:$J$131,Paramétrage!$D$24,Enseignement!$AK$9:$AK$131,1)*Paramétrage!$G$24+SUMIFS(Enseignement!$AE$9:$AE$131,Enseignement!$J$9:$J$131,Paramétrage!$D$26,Enseignement!$AK$9:$AK$131,1)*Paramétrage!$G$26+SUMIFS(Enseignement!$AE$9:$AE$131,Enseignement!$J$9:$J$131,Paramétrage!$D$27,Enseignement!$AK$9:$AK$131,1)*Paramétrage!$G$27</f>
        <v>0</v>
      </c>
      <c r="E33" s="57">
        <f>SUMIFS(Enseignement!$AE$9:$AE$131,Enseignement!$J$9:$J$131,Paramétrage!$D$6,Enseignement!$AK$9:$AK$131,2)*Paramétrage!$G$6+SUMIFS(Enseignement!$AE$9:$AE$131,Enseignement!$J$9:$J$131,Paramétrage!$D$7,Enseignement!$AK$9:$AK$131,2)*Paramétrage!$G$7+SUMIFS(Enseignement!$AE$9:$AE$131,Enseignement!$J$9:$J$131,Paramétrage!$D$8,Enseignement!$AK$9:$AK$131,2)*Paramétrage!$G$8+SUMIFS(Enseignement!$AE$9:$AE$131,Enseignement!$J$9:$J$131,Paramétrage!$D$10,Enseignement!$AK$9:$AK$131,2)*Paramétrage!$G$10+SUMIFS(Enseignement!$AE$9:$AE$131,Enseignement!$J$9:$J$131,Paramétrage!$D$11,Enseignement!$AK$9:$AK$131,2)*Paramétrage!$G$11+SUMIFS(Enseignement!$AE$9:$AE$131,Enseignement!$J$9:$J$131,Paramétrage!$D$13,Enseignement!$AK$9:$AK$131,2)*Paramétrage!$G$13+SUMIFS(Enseignement!$AE$9:$AE$131,Enseignement!$J$9:$J$131,Paramétrage!$D$14,Enseignement!$AK$9:$AK$131,2)*Paramétrage!$G$14+SUMIFS(Enseignement!$AE$9:$AE$131,Enseignement!$J$9:$J$131,Paramétrage!$D$16,Enseignement!$AK$9:$AK$131,2)*Paramétrage!$G$16+SUMIFS(Enseignement!$AE$9:$AE$131,Enseignement!$J$9:$J$131,Paramétrage!$D$17,Enseignement!$AK$9:$AK$131,2)*Paramétrage!$G$17+SUMIFS(Enseignement!$AE$9:$AE$131,Enseignement!$J$9:$J$131,Paramétrage!$D$19,Enseignement!$AK$9:$AK$131,2)*Paramétrage!$G$19+SUMIFS(Enseignement!$AE$9:$AE$131,Enseignement!$J$9:$J$131,Paramétrage!$D$20,Enseignement!$AK$9:$AK$131,2)*Paramétrage!$G$20+SUMIFS(Enseignement!$AE$9:$AE$131,Enseignement!$J$9:$J$131,Paramétrage!$D$23,Enseignement!$AK$9:$AK$131,2)*Paramétrage!$G$23+SUMIFS(Enseignement!$AE$9:$AE$131,Enseignement!$J$9:$J$131,Paramétrage!$D$24,Enseignement!$AK$9:$AK$131,2)*Paramétrage!$G$24+SUMIFS(Enseignement!$AE$9:$AE$131,Enseignement!$J$9:$J$131,Paramétrage!$D$26,Enseignement!$AK$9:$AK$131,2)*Paramétrage!$G$26+SUMIFS(Enseignement!$AE$9:$AE$131,Enseignement!$J$9:$J$131,Paramétrage!$D$27,Enseignement!$AK$9:$AK$131,2)*Paramétrage!$G$27</f>
        <v>0</v>
      </c>
      <c r="F33" s="62">
        <f>SUMIFS(Enseignement!$AE$9:$AE$131,Enseignement!$J$9:$J$131,Paramétrage!$D$6,Enseignement!$AK$9:$AK$131,3)*Paramétrage!$G$6+SUMIFS(Enseignement!$AE$9:$AE$131,Enseignement!$J$9:$J$131,Paramétrage!$D$7,Enseignement!$AK$9:$AK$131,3)*Paramétrage!$G$7+SUMIFS(Enseignement!$AE$9:$AE$131,Enseignement!$J$9:$J$131,Paramétrage!$D$8,Enseignement!$AK$9:$AK$131,3)*Paramétrage!$G$8+SUMIFS(Enseignement!$AE$9:$AE$131,Enseignement!$J$9:$J$131,Paramétrage!$D$10,Enseignement!$AK$9:$AK$131,3)*Paramétrage!$G$10+SUMIFS(Enseignement!$AE$9:$AE$131,Enseignement!$J$9:$J$131,Paramétrage!$D$11,Enseignement!$AK$9:$AK$131,3)*Paramétrage!$G$11+SUMIFS(Enseignement!$AE$9:$AE$131,Enseignement!$J$9:$J$131,Paramétrage!$D$13,Enseignement!$AK$9:$AK$131,3)*Paramétrage!$G$13+SUMIFS(Enseignement!$AE$9:$AE$131,Enseignement!$J$9:$J$131,Paramétrage!$D$14,Enseignement!$AK$9:$AK$131,3)*Paramétrage!$G$14+SUMIFS(Enseignement!$AE$9:$AE$131,Enseignement!$J$9:$J$131,Paramétrage!$D$16,Enseignement!$AK$9:$AK$131,3)*Paramétrage!$G$16+SUMIFS(Enseignement!$AE$9:$AE$131,Enseignement!$J$9:$J$131,Paramétrage!$D$17,Enseignement!$AK$9:$AK$131,3)*Paramétrage!$G$17+SUMIFS(Enseignement!$AE$9:$AE$131,Enseignement!$J$9:$J$131,Paramétrage!$D$19,Enseignement!$AK$9:$AK$131,3)*Paramétrage!$G$19+SUMIFS(Enseignement!$AE$9:$AE$131,Enseignement!$J$9:$J$131,Paramétrage!$D$20,Enseignement!$AK$9:$AK$131,3)*Paramétrage!$G$20+SUMIFS(Enseignement!$AE$9:$AE$131,Enseignement!$J$9:$J$131,Paramétrage!$D$23,Enseignement!$AK$9:$AK$131,3)*Paramétrage!$G$23+SUMIFS(Enseignement!$AE$9:$AE$131,Enseignement!$J$9:$J$131,Paramétrage!$D$24,Enseignement!$AK$9:$AK$131,3)*Paramétrage!$G$24+SUMIFS(Enseignement!$AE$9:$AE$131,Enseignement!$J$9:$J$131,Paramétrage!$D$26,Enseignement!$AK$9:$AK$131,3)*Paramétrage!$G$26+SUMIFS(Enseignement!$AE$9:$AE$131,Enseignement!$J$9:$J$131,Paramétrage!$D$27,Enseignement!$AK$9:$AK$131,3)*Paramétrage!$G$27</f>
        <v>0</v>
      </c>
      <c r="G33" s="114">
        <f>H33+I33</f>
        <v>0</v>
      </c>
      <c r="H33" s="115">
        <f>IF($D$27=0,0,D33+F33*($D$27-$D$28)/$D$27)</f>
        <v>0</v>
      </c>
      <c r="I33" s="126">
        <f>IF($D$27=0,0,E33+F33*$D$28/$D$27)</f>
        <v>0</v>
      </c>
    </row>
    <row r="34" spans="1:9" ht="15.5" x14ac:dyDescent="0.25">
      <c r="A34" s="873"/>
      <c r="B34" s="27" t="s">
        <v>719</v>
      </c>
      <c r="C34" s="98" t="s">
        <v>720</v>
      </c>
      <c r="D34" s="60">
        <f>SUMIFS(Enseignement!$AF$9:$AF$131,Enseignement!$J$9:$J$131,Paramétrage!$D$6,Enseignement!$AK$9:$AK$131,1)*Paramétrage!$G$6+SUMIFS(Enseignement!$AF$9:$AF$131,Enseignement!$J$9:$J$131,Paramétrage!$D$7,Enseignement!$AK$9:$AK$131,1)*Paramétrage!$G$7+SUMIFS(Enseignement!$AF$9:$AF$131,Enseignement!$J$9:$J$131,Paramétrage!$D$8,Enseignement!$AK$9:$AK$131,1)*Paramétrage!$G$8+SUMIFS(Enseignement!$AF$9:$AF$131,Enseignement!$J$9:$J$131,Paramétrage!$D$10,Enseignement!$AK$9:$AK$131,1)*Paramétrage!$G$10+SUMIFS(Enseignement!$AF$9:$AF$131,Enseignement!$J$9:$J$131,Paramétrage!$D$11,Enseignement!$AK$9:$AK$131,1)*Paramétrage!$G$11+SUMIFS(Enseignement!$AF$9:$AF$131,Enseignement!$J$9:$J$131,Paramétrage!$D$13,Enseignement!$AK$9:$AK$131,1)*Paramétrage!$G$13+SUMIFS(Enseignement!$AF$9:$AF$131,Enseignement!$J$9:$J$131,Paramétrage!$D$14,Enseignement!$AK$9:$AK$131,1)*Paramétrage!$G$14+SUMIFS(Enseignement!$AF$9:$AF$131,Enseignement!$J$9:$J$131,Paramétrage!$D$16,Enseignement!$AK$9:$AK$131,1)*Paramétrage!$G$16+SUMIFS(Enseignement!$AF$9:$AF$131,Enseignement!$J$9:$J$131,Paramétrage!$D$17,Enseignement!$AK$9:$AK$131,1)*Paramétrage!$G$17+SUMIFS(Enseignement!$AF$9:$AF$131,Enseignement!$J$9:$J$131,Paramétrage!$D$19,Enseignement!$AK$9:$AK$131,1)*Paramétrage!$G$19+SUMIFS(Enseignement!$AF$9:$AF$131,Enseignement!$J$9:$J$131,Paramétrage!$D$20,Enseignement!$AK$9:$AK$131,1)*Paramétrage!$G$20+SUMIFS(Enseignement!$AF$9:$AF$131,Enseignement!$J$9:$J$131,Paramétrage!$D$23,Enseignement!$AK$9:$AK$131,1)*Paramétrage!$G$23+SUMIFS(Enseignement!$AF$9:$AF$131,Enseignement!$J$9:$J$131,Paramétrage!$D$24,Enseignement!$AK$9:$AK$131,1)*Paramétrage!$G$24+SUMIFS(Enseignement!$AF$9:$AF$131,Enseignement!$J$9:$J$131,Paramétrage!$D$26,Enseignement!$AK$9:$AK$131,1)*Paramétrage!$G$26+SUMIFS(Enseignement!$AF$9:$AF$131,Enseignement!$J$9:$J$131,Paramétrage!$D$27,Enseignement!$AK$9:$AK$131,1)*Paramétrage!$G$27</f>
        <v>0</v>
      </c>
      <c r="E34" s="57">
        <f>SUMIFS(Enseignement!$AF$9:$AF$131,Enseignement!$J$9:$J$131,Paramétrage!$D$6,Enseignement!$AK$9:$AK$131,2)*Paramétrage!$G$6+SUMIFS(Enseignement!$AF$9:$AF$131,Enseignement!$J$9:$J$131,Paramétrage!$D$7,Enseignement!$AK$9:$AK$131,2)*Paramétrage!$G$7+SUMIFS(Enseignement!$AF$9:$AF$131,Enseignement!$J$9:$J$131,Paramétrage!$D$8,Enseignement!$AK$9:$AK$131,2)*Paramétrage!$G$8+SUMIFS(Enseignement!$AF$9:$AF$131,Enseignement!$J$9:$J$131,Paramétrage!$D$10,Enseignement!$AK$9:$AK$131,2)*Paramétrage!$G$10+SUMIFS(Enseignement!$AF$9:$AF$131,Enseignement!$J$9:$J$131,Paramétrage!$D$11,Enseignement!$AK$9:$AK$131,2)*Paramétrage!$G$11+SUMIFS(Enseignement!$AF$9:$AF$131,Enseignement!$J$9:$J$131,Paramétrage!$D$13,Enseignement!$AK$9:$AK$131,2)*Paramétrage!$G$13+SUMIFS(Enseignement!$AF$9:$AF$131,Enseignement!$J$9:$J$131,Paramétrage!$D$14,Enseignement!$AK$9:$AK$131,2)*Paramétrage!$G$14+SUMIFS(Enseignement!$AF$9:$AF$131,Enseignement!$J$9:$J$131,Paramétrage!$D$16,Enseignement!$AK$9:$AK$131,2)*Paramétrage!$G$16+SUMIFS(Enseignement!$AF$9:$AF$131,Enseignement!$J$9:$J$131,Paramétrage!$D$17,Enseignement!$AK$9:$AK$131,2)*Paramétrage!$G$17+SUMIFS(Enseignement!$AF$9:$AF$131,Enseignement!$J$9:$J$131,Paramétrage!$D$19,Enseignement!$AK$9:$AK$131,2)*Paramétrage!$G$19+SUMIFS(Enseignement!$AF$9:$AF$131,Enseignement!$J$9:$J$131,Paramétrage!$D$20,Enseignement!$AK$9:$AK$131,2)*Paramétrage!$G$20+SUMIFS(Enseignement!$AF$9:$AF$131,Enseignement!$J$9:$J$131,Paramétrage!$D$23,Enseignement!$AK$9:$AK$131,2)*Paramétrage!$G$23+SUMIFS(Enseignement!$AF$9:$AF$131,Enseignement!$J$9:$J$131,Paramétrage!$D$24,Enseignement!$AK$9:$AK$131,2)*Paramétrage!$G$24+SUMIFS(Enseignement!$AF$9:$AF$131,Enseignement!$J$9:$J$131,Paramétrage!$D$26,Enseignement!$AK$9:$AK$131,2)*Paramétrage!$G$26+SUMIFS(Enseignement!$AF$9:$AF$131,Enseignement!$J$9:$J$131,Paramétrage!$D$27,Enseignement!$AK$9:$AK$131,2)*Paramétrage!$G$27</f>
        <v>0</v>
      </c>
      <c r="F34" s="62">
        <f>SUMIFS(Enseignement!$AF$9:$AF$131,Enseignement!$J$9:$J$131,Paramétrage!$D$6,Enseignement!$AK$9:$AK$131,3)*Paramétrage!$G$6+SUMIFS(Enseignement!$AF$9:$AF$131,Enseignement!$J$9:$J$131,Paramétrage!$D$7,Enseignement!$AK$9:$AK$131,3)*Paramétrage!$G$7+SUMIFS(Enseignement!$AF$9:$AF$131,Enseignement!$J$9:$J$131,Paramétrage!$D$8,Enseignement!$AK$9:$AK$131,3)*Paramétrage!$G$8+SUMIFS(Enseignement!$AF$9:$AF$131,Enseignement!$J$9:$J$131,Paramétrage!$D$10,Enseignement!$AK$9:$AK$131,3)*Paramétrage!$G$10+SUMIFS(Enseignement!$AF$9:$AF$131,Enseignement!$J$9:$J$131,Paramétrage!$D$11,Enseignement!$AK$9:$AK$131,3)*Paramétrage!$G$11+SUMIFS(Enseignement!$AF$9:$AF$131,Enseignement!$J$9:$J$131,Paramétrage!$D$13,Enseignement!$AK$9:$AK$131,3)*Paramétrage!$G$13+SUMIFS(Enseignement!$AF$9:$AF$131,Enseignement!$J$9:$J$131,Paramétrage!$D$14,Enseignement!$AK$9:$AK$131,3)*Paramétrage!$G$14+SUMIFS(Enseignement!$AF$9:$AF$131,Enseignement!$J$9:$J$131,Paramétrage!$D$16,Enseignement!$AK$9:$AK$131,3)*Paramétrage!$G$16+SUMIFS(Enseignement!$AF$9:$AF$131,Enseignement!$J$9:$J$131,Paramétrage!$D$17,Enseignement!$AK$9:$AK$131,3)*Paramétrage!$G$17+SUMIFS(Enseignement!$AF$9:$AF$131,Enseignement!$J$9:$J$131,Paramétrage!$D$19,Enseignement!$AK$9:$AK$131,3)*Paramétrage!$G$19+SUMIFS(Enseignement!$AF$9:$AF$131,Enseignement!$J$9:$J$131,Paramétrage!$D$20,Enseignement!$AK$9:$AK$131,3)*Paramétrage!$G$20+SUMIFS(Enseignement!$AF$9:$AF$131,Enseignement!$J$9:$J$131,Paramétrage!$D$23,Enseignement!$AK$9:$AK$131,3)*Paramétrage!$G$23+SUMIFS(Enseignement!$AF$9:$AF$131,Enseignement!$J$9:$J$131,Paramétrage!$D$24,Enseignement!$AK$9:$AK$131,3)*Paramétrage!$G$24+SUMIFS(Enseignement!$AF$9:$AF$131,Enseignement!$J$9:$J$131,Paramétrage!$D$26,Enseignement!$AK$9:$AK$131,3)*Paramétrage!$G$26+SUMIFS(Enseignement!$AF$9:$AF$131,Enseignement!$J$9:$J$131,Paramétrage!$D$27,Enseignement!$AK$9:$AK$131,3)*Paramétrage!$G$27</f>
        <v>0</v>
      </c>
      <c r="G34" s="114">
        <f>H34+I34</f>
        <v>0</v>
      </c>
      <c r="H34" s="115">
        <f>IF($D$27=0,0,D34+F34*($D$27-$D$28)/$D$27)</f>
        <v>0</v>
      </c>
      <c r="I34" s="126">
        <f>IF($D$27=0,0,E34+F34*$D$28/$D$27)</f>
        <v>0</v>
      </c>
    </row>
    <row r="35" spans="1:9" ht="13.5" thickBot="1" x14ac:dyDescent="0.3">
      <c r="A35" s="873"/>
      <c r="B35" s="99" t="s">
        <v>721</v>
      </c>
      <c r="C35" s="100"/>
      <c r="D35" s="110">
        <f t="shared" ref="D35:I35" si="4">SUM(D31:D34)</f>
        <v>0</v>
      </c>
      <c r="E35" s="111">
        <f t="shared" si="4"/>
        <v>0</v>
      </c>
      <c r="F35" s="112">
        <f t="shared" si="4"/>
        <v>0</v>
      </c>
      <c r="G35" s="139">
        <f t="shared" si="4"/>
        <v>0</v>
      </c>
      <c r="H35" s="128">
        <f t="shared" si="4"/>
        <v>0</v>
      </c>
      <c r="I35" s="129">
        <f t="shared" si="4"/>
        <v>0</v>
      </c>
    </row>
    <row r="36" spans="1:9" ht="13" x14ac:dyDescent="0.25">
      <c r="A36" s="873"/>
      <c r="B36" s="23" t="s">
        <v>722</v>
      </c>
      <c r="C36" s="101" t="s">
        <v>723</v>
      </c>
      <c r="D36" s="64"/>
      <c r="E36" s="65"/>
      <c r="F36" s="66"/>
      <c r="G36" s="140"/>
      <c r="H36" s="132"/>
      <c r="I36" s="133"/>
    </row>
    <row r="37" spans="1:9" ht="13" x14ac:dyDescent="0.25">
      <c r="A37" s="873"/>
      <c r="B37" s="27" t="s">
        <v>724</v>
      </c>
      <c r="C37" s="102" t="s">
        <v>725</v>
      </c>
      <c r="D37" s="109">
        <f>SUMIFS(Enseignement!$AG$9:$AG$131,Enseignement!$J$9:$J$131,Paramétrage!$D$15,Enseignement!$AK$9:$AK$131,1)*Paramétrage!$G$15</f>
        <v>0</v>
      </c>
      <c r="E37" s="3">
        <f>SUMIFS(Enseignement!$AG$9:$AG$131,Enseignement!$J$9:$J$131,Paramétrage!$D$15,Enseignement!$AK$9:$AK$131,2)*Paramétrage!$G$15</f>
        <v>0</v>
      </c>
      <c r="F37" s="113">
        <f>SUMIFS(Enseignement!$AG$9:$AG$131,Enseignement!$J$9:$J$131,Paramétrage!$D$15,Enseignement!$AK$9:$AK$131,3)*Paramétrage!$G$15</f>
        <v>0</v>
      </c>
      <c r="G37" s="114">
        <f>H37+I37</f>
        <v>0</v>
      </c>
      <c r="H37" s="115">
        <f>IF($D$27=0,0,D37+F37*($D$27-$D$28)/$D$27)</f>
        <v>0</v>
      </c>
      <c r="I37" s="126">
        <f>IF($D$27=0,0,E37+F37*$D$28/$D$27)</f>
        <v>0</v>
      </c>
    </row>
    <row r="38" spans="1:9" ht="13" x14ac:dyDescent="0.25">
      <c r="A38" s="873"/>
      <c r="B38" s="27" t="s">
        <v>726</v>
      </c>
      <c r="C38" s="98" t="s">
        <v>727</v>
      </c>
      <c r="D38" s="109">
        <f>SUMIFS(Enseignement!$AG$9:$AG$131,Enseignement!$J$9:$J$131,Paramétrage!$D$18,Enseignement!$AK$9:$AK$131,1)*Paramétrage!$G$18</f>
        <v>0</v>
      </c>
      <c r="E38" s="3">
        <f>SUMIFS(Enseignement!$AG$9:$AG$131,Enseignement!$J$9:$J$131,Paramétrage!$D$18,Enseignement!$AK$9:$AK$131,2)*Paramétrage!$G$18</f>
        <v>0</v>
      </c>
      <c r="F38" s="113">
        <f>SUMIFS(Enseignement!$AG$9:$AG$131,Enseignement!$J$9:$J$131,Paramétrage!$D$18,Enseignement!$AK$9:$AK$131,3)*Paramétrage!$G$18</f>
        <v>0</v>
      </c>
      <c r="G38" s="114">
        <f>H38+I38</f>
        <v>0</v>
      </c>
      <c r="H38" s="115">
        <f>IF($D$27=0,0,D38+F38*($D$27-$D$28)/$D$27)</f>
        <v>0</v>
      </c>
      <c r="I38" s="126">
        <f>IF($D$27=0,0,E38+F38*$D$28/$D$27)</f>
        <v>0</v>
      </c>
    </row>
    <row r="39" spans="1:9" ht="13" x14ac:dyDescent="0.25">
      <c r="A39" s="873"/>
      <c r="B39" s="27" t="s">
        <v>728</v>
      </c>
      <c r="C39" s="98" t="s">
        <v>729</v>
      </c>
      <c r="D39" s="109">
        <f>SUMIFS(Enseignement!$AG$9:$AG$131,Enseignement!$J$9:$J$131,Paramétrage!$D$9,Enseignement!$AK$9:$AK$131,1)*Paramétrage!$G$9</f>
        <v>0</v>
      </c>
      <c r="E39" s="3">
        <f>SUMIFS(Enseignement!$AG$9:$AG$131,Enseignement!$J$9:$J$131,Paramétrage!$D$9,Enseignement!$AK$9:$AK$131,2)*Paramétrage!$G$9</f>
        <v>0</v>
      </c>
      <c r="F39" s="113">
        <f>SUMIFS(Enseignement!$AG$9:$AG$131,Enseignement!$J$9:$J$131,Paramétrage!$D$9,Enseignement!$AK$9:$AK$131,3)*Paramétrage!$G$9</f>
        <v>0</v>
      </c>
      <c r="G39" s="114">
        <f>H39+I39</f>
        <v>0</v>
      </c>
      <c r="H39" s="115">
        <f>IF($D$27=0,0,D39+F39*($D$27-$D$28)/$D$27)</f>
        <v>0</v>
      </c>
      <c r="I39" s="126">
        <f>IF($D$27=0,0,E39+F39*$D$28/$D$27)</f>
        <v>0</v>
      </c>
    </row>
    <row r="40" spans="1:9" ht="13" x14ac:dyDescent="0.25">
      <c r="A40" s="873"/>
      <c r="B40" s="27" t="s">
        <v>730</v>
      </c>
      <c r="C40" s="98" t="s">
        <v>731</v>
      </c>
      <c r="D40" s="109">
        <f>SUMIFS(Enseignement!$AG$9:$AG$131,Enseignement!$J$9:$J$131,Paramétrage!$D$12,Enseignement!$AK$9:$AK$131,1)*Paramétrage!$G$12</f>
        <v>0</v>
      </c>
      <c r="E40" s="3">
        <f>SUMIFS(Enseignement!$AG$9:$AG$131,Enseignement!$J$9:$J$131,Paramétrage!$D$12,Enseignement!$AK$9:$AK$131,2)*Paramétrage!$G$12</f>
        <v>0</v>
      </c>
      <c r="F40" s="113">
        <f>SUMIFS(Enseignement!$AG$9:$AG$131,Enseignement!$J$9:$J$131,Paramétrage!$D$12,Enseignement!$AK$9:$AK$131,3)*Paramétrage!$G$12</f>
        <v>0</v>
      </c>
      <c r="G40" s="114">
        <f>H40+I40</f>
        <v>0</v>
      </c>
      <c r="H40" s="115">
        <f>IF($D$27=0,0,D40+F40*($D$27-$D$28)/$D$27)</f>
        <v>0</v>
      </c>
      <c r="I40" s="126">
        <f>IF($D$27=0,0,E40+F40*$D$28/$D$27)</f>
        <v>0</v>
      </c>
    </row>
    <row r="41" spans="1:9" ht="13" x14ac:dyDescent="0.25">
      <c r="A41" s="873"/>
      <c r="B41" s="27" t="s">
        <v>732</v>
      </c>
      <c r="C41" s="98" t="s">
        <v>733</v>
      </c>
      <c r="D41" s="109">
        <f>SUMIFS(Enseignement!$AG$9:$AG$131,Enseignement!$J$9:$J$131,Paramétrage!$D$22,Enseignement!$AK$9:$AK$131,1)*Paramétrage!$G$22+SUMIFS(Enseignement!$AG$9:$AG$131,Enseignement!$J$9:$J$131,Paramétrage!$D$25,Enseignement!$AK$9:$AK$131,1)*Paramétrage!$G$25</f>
        <v>0</v>
      </c>
      <c r="E41" s="3">
        <f>SUMIFS(Enseignement!$AG$9:$AG$131,Enseignement!$J$9:$J$131,Paramétrage!$D$24,Enseignement!$AK$9:$AK$131,2)*Paramétrage!$G$24+SUMIFS(Enseignement!$AG$9:$AG$131,Enseignement!$J$9:$J$131,Paramétrage!$D$27,Enseignement!$AK$9:$AK$131,2)*Paramétrage!$G$27</f>
        <v>0</v>
      </c>
      <c r="F41" s="113">
        <f>SUMIFS(Enseignement!$AG$9:$AG$131,Enseignement!$J$9:$J$131,Paramétrage!$D$24,Enseignement!$AK$9:$AK$131,3)*Paramétrage!$G$24+SUMIFS(Enseignement!$AG$9:$AG$131,Enseignement!$J$9:$J$131,Paramétrage!$D$27,Enseignement!$AK$9:$AK$131,3)*Paramétrage!$G$27</f>
        <v>0</v>
      </c>
      <c r="G41" s="114">
        <f>H41+I41</f>
        <v>0</v>
      </c>
      <c r="H41" s="115">
        <f>IF($D$27=0,0,D41+F41*($D$27-$D$28)/$D$27)</f>
        <v>0</v>
      </c>
      <c r="I41" s="126">
        <f>IF($D$27=0,0,E41+F41*$D$28/$D$27)</f>
        <v>0</v>
      </c>
    </row>
    <row r="42" spans="1:9" ht="13.5" thickBot="1" x14ac:dyDescent="0.3">
      <c r="A42" s="873"/>
      <c r="B42" s="99" t="s">
        <v>734</v>
      </c>
      <c r="C42" s="100"/>
      <c r="D42" s="110">
        <f t="shared" ref="D42:I42" si="5">SUM(D37:D41)</f>
        <v>0</v>
      </c>
      <c r="E42" s="111">
        <f t="shared" si="5"/>
        <v>0</v>
      </c>
      <c r="F42" s="112">
        <f t="shared" si="5"/>
        <v>0</v>
      </c>
      <c r="G42" s="116">
        <f t="shared" si="5"/>
        <v>0</v>
      </c>
      <c r="H42" s="117">
        <f t="shared" si="5"/>
        <v>0</v>
      </c>
      <c r="I42" s="134">
        <f t="shared" si="5"/>
        <v>0</v>
      </c>
    </row>
    <row r="43" spans="1:9" ht="13" x14ac:dyDescent="0.25">
      <c r="A43" s="873"/>
      <c r="B43" s="23" t="s">
        <v>735</v>
      </c>
      <c r="C43" s="101" t="s">
        <v>736</v>
      </c>
      <c r="D43" s="64"/>
      <c r="E43" s="65"/>
      <c r="F43" s="66"/>
      <c r="G43" s="118"/>
      <c r="H43" s="119"/>
      <c r="I43" s="131"/>
    </row>
    <row r="44" spans="1:9" ht="13" x14ac:dyDescent="0.25">
      <c r="A44" s="873"/>
      <c r="B44" s="27" t="s">
        <v>737</v>
      </c>
      <c r="C44" s="98" t="s">
        <v>122</v>
      </c>
      <c r="D44" s="68"/>
      <c r="E44" s="69"/>
      <c r="F44" s="67">
        <f>'Budget détaillé réel'!G28</f>
        <v>0</v>
      </c>
      <c r="G44" s="120">
        <f>H44+I44</f>
        <v>0</v>
      </c>
      <c r="H44" s="121">
        <f>IF($D$27=0,0,D44+F44*($D$27-$D$28)/$D$27)</f>
        <v>0</v>
      </c>
      <c r="I44" s="127">
        <f>IF($D$27=0,0,E44+F44*$D$28/$D$27)</f>
        <v>0</v>
      </c>
    </row>
    <row r="45" spans="1:9" ht="13" x14ac:dyDescent="0.25">
      <c r="A45" s="873"/>
      <c r="B45" s="27" t="s">
        <v>738</v>
      </c>
      <c r="C45" s="98" t="s">
        <v>739</v>
      </c>
      <c r="D45" s="68"/>
      <c r="E45" s="63">
        <f>'Budget détaillé réel'!G29</f>
        <v>0</v>
      </c>
      <c r="F45" s="70"/>
      <c r="G45" s="120">
        <f>H45+I45</f>
        <v>0</v>
      </c>
      <c r="H45" s="121">
        <f>IF($D$27=0,0,D45+F45*($D$27-$D$28)/$D$27)</f>
        <v>0</v>
      </c>
      <c r="I45" s="127">
        <f>IF($D$27=0,0,E45+F45*$D$28/$D$27)</f>
        <v>0</v>
      </c>
    </row>
    <row r="46" spans="1:9" ht="13" x14ac:dyDescent="0.25">
      <c r="A46" s="873"/>
      <c r="B46" s="27" t="s">
        <v>740</v>
      </c>
      <c r="C46" s="103" t="s">
        <v>124</v>
      </c>
      <c r="D46" s="68"/>
      <c r="E46" s="69"/>
      <c r="F46" s="67">
        <f>'Budget détaillé réel'!G30</f>
        <v>0</v>
      </c>
      <c r="G46" s="120">
        <f>H46+I46</f>
        <v>0</v>
      </c>
      <c r="H46" s="121">
        <f>IF($D$27=0,0,D46+F46*($D$27-$D$28)/$D$27)</f>
        <v>0</v>
      </c>
      <c r="I46" s="127">
        <f>IF($D$27=0,0,E46+F46*$D$28/$D$27)</f>
        <v>0</v>
      </c>
    </row>
    <row r="47" spans="1:9" ht="13.5" thickBot="1" x14ac:dyDescent="0.3">
      <c r="A47" s="873"/>
      <c r="B47" s="99" t="s">
        <v>741</v>
      </c>
      <c r="C47" s="100"/>
      <c r="D47" s="71">
        <f t="shared" ref="D47:I47" si="6">SUM(D43:D46)</f>
        <v>0</v>
      </c>
      <c r="E47" s="72">
        <f t="shared" si="6"/>
        <v>0</v>
      </c>
      <c r="F47" s="73">
        <f t="shared" si="6"/>
        <v>0</v>
      </c>
      <c r="G47" s="122">
        <f t="shared" si="6"/>
        <v>0</v>
      </c>
      <c r="H47" s="123">
        <f t="shared" si="6"/>
        <v>0</v>
      </c>
      <c r="I47" s="130">
        <f t="shared" si="6"/>
        <v>0</v>
      </c>
    </row>
    <row r="48" spans="1:9" ht="13.5" thickBot="1" x14ac:dyDescent="0.3">
      <c r="A48" s="873"/>
      <c r="B48" s="104" t="s">
        <v>742</v>
      </c>
      <c r="C48" s="105"/>
      <c r="D48" s="74">
        <f t="shared" ref="D48:I48" si="7">D47+D42+D35</f>
        <v>0</v>
      </c>
      <c r="E48" s="75">
        <f t="shared" si="7"/>
        <v>0</v>
      </c>
      <c r="F48" s="76">
        <f t="shared" si="7"/>
        <v>0</v>
      </c>
      <c r="G48" s="124">
        <f t="shared" si="7"/>
        <v>0</v>
      </c>
      <c r="H48" s="125">
        <f t="shared" si="7"/>
        <v>0</v>
      </c>
      <c r="I48" s="135">
        <f t="shared" si="7"/>
        <v>0</v>
      </c>
    </row>
  </sheetData>
  <mergeCells count="2">
    <mergeCell ref="A3:A24"/>
    <mergeCell ref="A27:A48"/>
  </mergeCells>
  <pageMargins left="0.51181102362204722" right="0.51181102362204722" top="0.55118110236220474" bottom="0.55118110236220474" header="0.31496062992125984" footer="0.31496062992125984"/>
  <pageSetup paperSize="9" orientation="landscape"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R39"/>
  <sheetViews>
    <sheetView showZeros="0" zoomScale="85" zoomScaleNormal="85" workbookViewId="0">
      <pane ySplit="12" topLeftCell="A13" activePane="bottomLeft" state="frozen"/>
      <selection pane="bottomLeft" activeCell="B2" sqref="B2:M2"/>
    </sheetView>
  </sheetViews>
  <sheetFormatPr baseColWidth="10" defaultColWidth="11.453125" defaultRowHeight="13" x14ac:dyDescent="0.25"/>
  <cols>
    <col min="1" max="1" width="3.1796875" style="12" customWidth="1"/>
    <col min="2" max="2" width="12.7265625" style="12" customWidth="1"/>
    <col min="3" max="3" width="28.7265625" style="12" customWidth="1"/>
    <col min="4" max="6" width="11.453125" style="12"/>
    <col min="7" max="7" width="11.453125" style="12" customWidth="1"/>
    <col min="8" max="11" width="11.453125" style="12"/>
    <col min="12" max="12" width="11.7265625" style="12" customWidth="1"/>
    <col min="13" max="13" width="11.453125" style="12" customWidth="1"/>
    <col min="14" max="14" width="24.26953125" style="12" customWidth="1"/>
    <col min="15" max="15" width="9.7265625" style="12" customWidth="1"/>
    <col min="16" max="17" width="6.7265625" style="12" customWidth="1"/>
    <col min="18" max="16384" width="11.453125" style="12"/>
  </cols>
  <sheetData>
    <row r="1" spans="1:18" ht="7.15" customHeight="1" thickBot="1" x14ac:dyDescent="0.3">
      <c r="H1" s="257"/>
      <c r="I1" s="13"/>
      <c r="J1" s="14"/>
      <c r="K1" s="257"/>
      <c r="L1" s="257"/>
    </row>
    <row r="2" spans="1:18" ht="28.15" customHeight="1" thickBot="1" x14ac:dyDescent="0.3">
      <c r="A2" s="185"/>
      <c r="B2" s="879" t="s">
        <v>744</v>
      </c>
      <c r="C2" s="880"/>
      <c r="D2" s="880"/>
      <c r="E2" s="880"/>
      <c r="F2" s="880"/>
      <c r="G2" s="880"/>
      <c r="H2" s="880"/>
      <c r="I2" s="880"/>
      <c r="J2" s="880"/>
      <c r="K2" s="880"/>
      <c r="L2" s="880"/>
      <c r="M2" s="881"/>
    </row>
    <row r="3" spans="1:18" ht="12.4" customHeight="1" x14ac:dyDescent="0.25">
      <c r="F3" s="257"/>
      <c r="G3" s="257"/>
      <c r="H3" s="257"/>
      <c r="I3" s="257"/>
      <c r="J3" s="14"/>
      <c r="K3" s="257"/>
      <c r="L3" s="257"/>
    </row>
    <row r="4" spans="1:18" ht="22.15" customHeight="1" x14ac:dyDescent="0.25">
      <c r="C4" s="889" t="s">
        <v>745</v>
      </c>
      <c r="D4" s="876" t="s">
        <v>746</v>
      </c>
      <c r="E4" s="882"/>
      <c r="G4" s="189" t="s">
        <v>77</v>
      </c>
      <c r="H4" s="876" t="str">
        <f>Formulaire!B9</f>
        <v>DU</v>
      </c>
      <c r="I4" s="883"/>
      <c r="J4" s="883"/>
      <c r="K4" s="884"/>
    </row>
    <row r="5" spans="1:18" ht="22.15" customHeight="1" x14ac:dyDescent="0.25">
      <c r="C5" s="889"/>
      <c r="D5" s="876" t="str">
        <f>Formulaire!B8</f>
        <v>Composante</v>
      </c>
      <c r="E5" s="882"/>
      <c r="G5" s="189" t="s">
        <v>81</v>
      </c>
      <c r="H5" s="876" t="str">
        <f>Formulaire!B10</f>
        <v>non</v>
      </c>
      <c r="I5" s="883"/>
      <c r="J5" s="883"/>
      <c r="K5" s="884"/>
    </row>
    <row r="6" spans="1:18" ht="30.75" customHeight="1" x14ac:dyDescent="0.25">
      <c r="C6" s="189" t="s">
        <v>747</v>
      </c>
      <c r="D6" s="885" t="str">
        <f>IFERROR(INDEX(Paramétrage!AA:AA,MATCH(Formulaire!B12,Paramétrage!V:V,0)),"-")</f>
        <v>-</v>
      </c>
      <c r="E6" s="882"/>
      <c r="G6" s="189" t="s">
        <v>748</v>
      </c>
      <c r="H6" s="886">
        <f>Formulaire!B12</f>
        <v>0</v>
      </c>
      <c r="I6" s="887"/>
      <c r="J6" s="887"/>
      <c r="K6" s="888"/>
    </row>
    <row r="7" spans="1:18" ht="22.15" customHeight="1" thickBot="1" x14ac:dyDescent="0.3">
      <c r="C7" s="874" t="s">
        <v>79</v>
      </c>
      <c r="D7" s="875"/>
      <c r="E7" s="192">
        <f>Formulaire!E9</f>
        <v>20</v>
      </c>
      <c r="G7" s="189" t="s">
        <v>76</v>
      </c>
      <c r="H7" s="876" t="str">
        <f>Formulaire!B11</f>
        <v>IPsyL</v>
      </c>
      <c r="I7" s="877"/>
      <c r="J7" s="877"/>
      <c r="K7" s="878"/>
    </row>
    <row r="8" spans="1:18" ht="22.15" customHeight="1" thickBot="1" x14ac:dyDescent="0.3">
      <c r="C8" s="874" t="s">
        <v>83</v>
      </c>
      <c r="D8" s="875"/>
      <c r="E8" s="192">
        <f>Formulaire!E10</f>
        <v>20</v>
      </c>
      <c r="G8" s="193" t="s">
        <v>329</v>
      </c>
      <c r="I8" s="896" t="str">
        <f>Formulaire!B2</f>
        <v>2026-2027</v>
      </c>
      <c r="J8" s="897"/>
      <c r="K8" s="898"/>
    </row>
    <row r="9" spans="1:18" ht="18" customHeight="1" x14ac:dyDescent="0.25">
      <c r="E9" s="257"/>
      <c r="G9" s="509"/>
    </row>
    <row r="10" spans="1:18" ht="22" customHeight="1" x14ac:dyDescent="0.25">
      <c r="B10" s="899" t="s">
        <v>749</v>
      </c>
      <c r="C10" s="899"/>
      <c r="D10" s="899"/>
      <c r="E10" s="510">
        <f>'Budget détaillé prev'!J86</f>
        <v>1140</v>
      </c>
      <c r="F10" s="900" t="s">
        <v>750</v>
      </c>
      <c r="G10" s="900"/>
      <c r="H10" s="895" t="s">
        <v>751</v>
      </c>
      <c r="I10" s="895"/>
      <c r="J10" s="895"/>
      <c r="K10" s="510">
        <f>'Budget détaillé prev'!K86</f>
        <v>16973.787096774191</v>
      </c>
    </row>
    <row r="11" spans="1:18" ht="22" customHeight="1" x14ac:dyDescent="0.25">
      <c r="B11" s="899" t="s">
        <v>752</v>
      </c>
      <c r="C11" s="899"/>
      <c r="D11" s="899"/>
      <c r="E11" s="510">
        <f>E10+K10</f>
        <v>18113.787096774191</v>
      </c>
      <c r="F11" s="900"/>
      <c r="G11" s="900"/>
      <c r="H11" s="895" t="s">
        <v>117</v>
      </c>
      <c r="I11" s="895"/>
      <c r="J11" s="895"/>
      <c r="K11" s="510">
        <f>'Budget détaillé prev'!K70</f>
        <v>1653.3106451612905</v>
      </c>
    </row>
    <row r="12" spans="1:18" ht="16.899999999999999" customHeight="1" thickBot="1" x14ac:dyDescent="0.3"/>
    <row r="13" spans="1:18" ht="18.399999999999999" customHeight="1" thickBot="1" x14ac:dyDescent="0.3">
      <c r="B13" s="892" t="s">
        <v>753</v>
      </c>
      <c r="C13" s="893"/>
      <c r="D13" s="893"/>
      <c r="E13" s="893"/>
      <c r="F13" s="893"/>
      <c r="G13" s="893"/>
      <c r="H13" s="893"/>
      <c r="I13" s="893"/>
      <c r="J13" s="893"/>
      <c r="K13" s="893"/>
      <c r="L13" s="893"/>
      <c r="M13" s="893"/>
      <c r="N13" s="894"/>
    </row>
    <row r="14" spans="1:18" ht="13.5" thickBot="1" x14ac:dyDescent="0.3"/>
    <row r="15" spans="1:18" ht="55.15" customHeight="1" thickBot="1" x14ac:dyDescent="0.3">
      <c r="B15" s="511" t="s">
        <v>754</v>
      </c>
      <c r="C15" s="512" t="s">
        <v>755</v>
      </c>
      <c r="D15" s="512" t="s">
        <v>164</v>
      </c>
      <c r="E15" s="512" t="s">
        <v>756</v>
      </c>
      <c r="F15" s="512" t="s">
        <v>757</v>
      </c>
      <c r="G15" s="512" t="s">
        <v>758</v>
      </c>
      <c r="H15" s="512" t="s">
        <v>147</v>
      </c>
      <c r="I15" s="513" t="s">
        <v>759</v>
      </c>
      <c r="J15" s="512" t="s">
        <v>760</v>
      </c>
      <c r="K15" s="512" t="s">
        <v>761</v>
      </c>
      <c r="L15" s="512" t="s">
        <v>762</v>
      </c>
      <c r="M15" s="901" t="s">
        <v>763</v>
      </c>
      <c r="N15" s="881"/>
      <c r="P15" s="221" t="s">
        <v>764</v>
      </c>
      <c r="Q15" s="221">
        <v>250</v>
      </c>
      <c r="R15" s="221">
        <v>400</v>
      </c>
    </row>
    <row r="16" spans="1:18" ht="20.65" customHeight="1" thickBot="1" x14ac:dyDescent="0.3">
      <c r="B16" s="514" t="s">
        <v>765</v>
      </c>
      <c r="C16" s="515"/>
      <c r="D16" s="515"/>
      <c r="E16" s="516"/>
      <c r="F16" s="168">
        <f>IF(H4="Master",254,IF(OR(H4="Licence",H4="LP",H4="BUT")=TRUE,178,IF(OR(H4="DU",H4="VAE")=TRUE,57,0)))</f>
        <v>57</v>
      </c>
      <c r="G16" s="192">
        <f>IF(E7=0,0,E7-(Formulaire!E11+Formulaire!E12))</f>
        <v>20</v>
      </c>
      <c r="H16" s="518">
        <f>F16*G16</f>
        <v>1140</v>
      </c>
      <c r="I16" s="519"/>
      <c r="J16" s="520"/>
      <c r="K16" s="520"/>
      <c r="L16" s="520"/>
      <c r="M16" s="520"/>
      <c r="N16" s="521"/>
      <c r="P16" s="221" t="s">
        <v>766</v>
      </c>
      <c r="Q16" s="221">
        <v>400</v>
      </c>
      <c r="R16" s="221"/>
    </row>
    <row r="17" spans="2:14" ht="21" customHeight="1" x14ac:dyDescent="0.25">
      <c r="B17" s="522" t="s">
        <v>767</v>
      </c>
      <c r="C17" s="523"/>
      <c r="D17" s="523"/>
      <c r="E17" s="523"/>
      <c r="F17" s="523"/>
      <c r="G17" s="523"/>
      <c r="H17" s="523"/>
      <c r="I17" s="523"/>
      <c r="J17" s="523"/>
      <c r="K17" s="523"/>
      <c r="L17" s="523"/>
      <c r="M17" s="523"/>
      <c r="N17" s="524"/>
    </row>
    <row r="18" spans="2:14" x14ac:dyDescent="0.25">
      <c r="B18" s="296" t="s">
        <v>768</v>
      </c>
      <c r="C18" s="434" t="str">
        <f>Formulaire!D11</f>
        <v>Contrat d'apprentissage (CA)</v>
      </c>
      <c r="D18" s="395" t="str">
        <f>IF(G18=0,"",IF(H4="VAE",Enseignement!$K5,Enseignement!$L5))</f>
        <v/>
      </c>
      <c r="E18" s="395" t="str">
        <f>IF(G18=0,"",Enseignement!$B8)</f>
        <v/>
      </c>
      <c r="F18" s="526"/>
      <c r="G18" s="192">
        <f>IF($D$5="CFA externe",0,Formulaire!E11)</f>
        <v>0</v>
      </c>
      <c r="H18" s="626">
        <f>Formulaire!$B$15*G18</f>
        <v>0</v>
      </c>
      <c r="I18" s="518" t="str">
        <f>IFERROR(IF(D18=0,0,E18/D18),"")</f>
        <v/>
      </c>
      <c r="J18" s="527"/>
      <c r="K18" s="577" t="str">
        <f>IFERROR(((E18*G18)*(1-J18)+F18*G18)," ")</f>
        <v xml:space="preserve"> </v>
      </c>
      <c r="L18" s="518" t="str">
        <f>IFERROR(IF((D18*G18)=0,0,K18/(D18*G18)),"")</f>
        <v/>
      </c>
      <c r="M18" s="890"/>
      <c r="N18" s="891"/>
    </row>
    <row r="19" spans="2:14" x14ac:dyDescent="0.25">
      <c r="B19" s="296" t="s">
        <v>769</v>
      </c>
      <c r="C19" s="434" t="str">
        <f>Formulaire!D12</f>
        <v>Contrat de professionnalisation (CP)</v>
      </c>
      <c r="D19" s="395" t="str">
        <f>IF(G19=0,"",IF(H4="VAE",Enseignement!$K4,Enseignement!$L4))</f>
        <v/>
      </c>
      <c r="E19" s="525"/>
      <c r="F19" s="525"/>
      <c r="G19" s="192">
        <f>IF($D$5="CFA externe",0,Formulaire!E12)</f>
        <v>0</v>
      </c>
      <c r="H19" s="626">
        <f>Formulaire!$B$15*G19</f>
        <v>0</v>
      </c>
      <c r="I19" s="518" t="str">
        <f t="shared" ref="I19:I27" si="0">IFERROR(IF(D19=0,0,E19/D19),"")</f>
        <v/>
      </c>
      <c r="J19" s="527"/>
      <c r="K19" s="577">
        <f t="shared" ref="K19:K27" si="1">IFERROR(((E19*G19)*(1-J19)+F19*G19)," ")</f>
        <v>0</v>
      </c>
      <c r="L19" s="518" t="str">
        <f t="shared" ref="L19:L27" si="2">IFERROR(IF((D19*G19)=0,0,K19/(D19*G19)),"")</f>
        <v/>
      </c>
      <c r="M19" s="908"/>
      <c r="N19" s="909"/>
    </row>
    <row r="20" spans="2:14" x14ac:dyDescent="0.25">
      <c r="B20" s="296" t="s">
        <v>770</v>
      </c>
      <c r="C20" s="434" t="str">
        <f>Formulaire!D13</f>
        <v>Formation continue (FC)</v>
      </c>
      <c r="D20" s="395">
        <f>IF(G20=0,"",IF(H4="VAE",Enseignement!$K4,Enseignement!$L4))</f>
        <v>120</v>
      </c>
      <c r="E20" s="525"/>
      <c r="F20" s="525"/>
      <c r="G20" s="192">
        <f>Formulaire!E13</f>
        <v>20</v>
      </c>
      <c r="H20" s="626">
        <f>Formulaire!$B$15*G20</f>
        <v>0</v>
      </c>
      <c r="I20" s="518">
        <f t="shared" si="0"/>
        <v>0</v>
      </c>
      <c r="J20" s="527"/>
      <c r="K20" s="577">
        <f t="shared" si="1"/>
        <v>0</v>
      </c>
      <c r="L20" s="518">
        <f t="shared" si="2"/>
        <v>0</v>
      </c>
      <c r="M20" s="908"/>
      <c r="N20" s="909"/>
    </row>
    <row r="21" spans="2:14" x14ac:dyDescent="0.25">
      <c r="B21" s="296" t="s">
        <v>771</v>
      </c>
      <c r="C21" s="627"/>
      <c r="D21" s="395" t="str">
        <f>IF(G21=0,"",Enseignement!$Q$8)</f>
        <v/>
      </c>
      <c r="E21" s="525"/>
      <c r="F21" s="525"/>
      <c r="G21" s="573"/>
      <c r="H21" s="626"/>
      <c r="I21" s="518" t="str">
        <f t="shared" si="0"/>
        <v/>
      </c>
      <c r="J21" s="527"/>
      <c r="K21" s="577">
        <f t="shared" si="1"/>
        <v>0</v>
      </c>
      <c r="L21" s="518" t="str">
        <f t="shared" si="2"/>
        <v/>
      </c>
      <c r="M21" s="908"/>
      <c r="N21" s="909"/>
    </row>
    <row r="22" spans="2:14" x14ac:dyDescent="0.25">
      <c r="B22" s="296" t="s">
        <v>772</v>
      </c>
      <c r="C22" s="627"/>
      <c r="D22" s="395" t="str">
        <f>IF(G22=0,"",Enseignement!$Q$8)</f>
        <v/>
      </c>
      <c r="E22" s="525"/>
      <c r="F22" s="525"/>
      <c r="G22" s="573"/>
      <c r="H22" s="626"/>
      <c r="I22" s="518" t="str">
        <f t="shared" si="0"/>
        <v/>
      </c>
      <c r="J22" s="527"/>
      <c r="K22" s="577">
        <f t="shared" si="1"/>
        <v>0</v>
      </c>
      <c r="L22" s="518" t="str">
        <f t="shared" si="2"/>
        <v/>
      </c>
      <c r="M22" s="908"/>
      <c r="N22" s="909"/>
    </row>
    <row r="23" spans="2:14" x14ac:dyDescent="0.25">
      <c r="B23" s="296" t="s">
        <v>773</v>
      </c>
      <c r="C23" s="627"/>
      <c r="D23" s="395" t="str">
        <f>IF(G23=0,"",Enseignement!$Q$8)</f>
        <v/>
      </c>
      <c r="E23" s="525"/>
      <c r="F23" s="525"/>
      <c r="G23" s="573"/>
      <c r="H23" s="626"/>
      <c r="I23" s="518" t="str">
        <f t="shared" si="0"/>
        <v/>
      </c>
      <c r="J23" s="527"/>
      <c r="K23" s="577">
        <f t="shared" si="1"/>
        <v>0</v>
      </c>
      <c r="L23" s="518" t="str">
        <f t="shared" si="2"/>
        <v/>
      </c>
      <c r="M23" s="890"/>
      <c r="N23" s="891"/>
    </row>
    <row r="24" spans="2:14" x14ac:dyDescent="0.25">
      <c r="B24" s="296" t="s">
        <v>774</v>
      </c>
      <c r="C24" s="627"/>
      <c r="D24" s="395" t="str">
        <f>IF(G24=0,"",Enseignement!$Q$8)</f>
        <v/>
      </c>
      <c r="E24" s="525"/>
      <c r="F24" s="525"/>
      <c r="G24" s="573"/>
      <c r="H24" s="626"/>
      <c r="I24" s="518" t="str">
        <f t="shared" si="0"/>
        <v/>
      </c>
      <c r="J24" s="527"/>
      <c r="K24" s="577">
        <f t="shared" si="1"/>
        <v>0</v>
      </c>
      <c r="L24" s="518" t="str">
        <f t="shared" si="2"/>
        <v/>
      </c>
      <c r="M24" s="890"/>
      <c r="N24" s="891"/>
    </row>
    <row r="25" spans="2:14" x14ac:dyDescent="0.25">
      <c r="B25" s="296" t="s">
        <v>775</v>
      </c>
      <c r="C25" s="627"/>
      <c r="D25" s="395" t="str">
        <f>IF(G25=0,"",Enseignement!$Q$8)</f>
        <v/>
      </c>
      <c r="E25" s="525"/>
      <c r="F25" s="525"/>
      <c r="G25" s="573"/>
      <c r="H25" s="626"/>
      <c r="I25" s="518" t="str">
        <f t="shared" si="0"/>
        <v/>
      </c>
      <c r="J25" s="527"/>
      <c r="K25" s="577">
        <f t="shared" si="1"/>
        <v>0</v>
      </c>
      <c r="L25" s="518" t="str">
        <f t="shared" si="2"/>
        <v/>
      </c>
      <c r="M25" s="908"/>
      <c r="N25" s="909"/>
    </row>
    <row r="26" spans="2:14" x14ac:dyDescent="0.25">
      <c r="B26" s="296" t="s">
        <v>776</v>
      </c>
      <c r="C26" s="627"/>
      <c r="D26" s="395" t="str">
        <f>IF(G26=0,"",Enseignement!$Q$8)</f>
        <v/>
      </c>
      <c r="E26" s="525"/>
      <c r="F26" s="525"/>
      <c r="G26" s="573"/>
      <c r="H26" s="626"/>
      <c r="I26" s="518" t="str">
        <f t="shared" si="0"/>
        <v/>
      </c>
      <c r="J26" s="527"/>
      <c r="K26" s="577">
        <f t="shared" si="1"/>
        <v>0</v>
      </c>
      <c r="L26" s="518" t="str">
        <f t="shared" si="2"/>
        <v/>
      </c>
      <c r="M26" s="890"/>
      <c r="N26" s="891"/>
    </row>
    <row r="27" spans="2:14" x14ac:dyDescent="0.25">
      <c r="B27" s="528" t="s">
        <v>777</v>
      </c>
      <c r="C27" s="628"/>
      <c r="D27" s="395" t="str">
        <f>IF(G27=0,"",Enseignement!$Q$8)</f>
        <v/>
      </c>
      <c r="E27" s="529"/>
      <c r="F27" s="525"/>
      <c r="G27" s="573"/>
      <c r="H27" s="626"/>
      <c r="I27" s="518" t="str">
        <f t="shared" si="0"/>
        <v/>
      </c>
      <c r="J27" s="527"/>
      <c r="K27" s="577">
        <f t="shared" si="1"/>
        <v>0</v>
      </c>
      <c r="L27" s="518" t="str">
        <f t="shared" si="2"/>
        <v/>
      </c>
      <c r="M27" s="890"/>
      <c r="N27" s="891"/>
    </row>
    <row r="28" spans="2:14" ht="20.5" customHeight="1" thickBot="1" x14ac:dyDescent="0.3">
      <c r="B28" s="910" t="s">
        <v>778</v>
      </c>
      <c r="C28" s="911"/>
      <c r="D28" s="530">
        <f>IF(G28=0,0,SUMPRODUCT(D18:D27,G18:G27)/G28)</f>
        <v>120</v>
      </c>
      <c r="E28" s="531"/>
      <c r="F28" s="532"/>
      <c r="G28" s="533">
        <f>SUM(G18:G27)</f>
        <v>20</v>
      </c>
      <c r="H28" s="534">
        <f>SUM(H18:H27)</f>
        <v>0</v>
      </c>
      <c r="I28" s="535">
        <f>IF(SUMPRODUCT(G18:G27,D18:D27)=0,0,H28/SUMPRODUCT(G18:G27,D18:D27))</f>
        <v>0</v>
      </c>
      <c r="J28" s="532"/>
      <c r="K28" s="534">
        <f>SUM(K18:K27)</f>
        <v>0</v>
      </c>
      <c r="L28" s="534">
        <f>IF(D28=0,0,IF(SUMPRODUCT(G18:G27,D18:D27)=0,0,K28/SUMPRODUCT(G18:G27,D18:D27)))</f>
        <v>0</v>
      </c>
      <c r="M28" s="912"/>
      <c r="N28" s="913"/>
    </row>
    <row r="29" spans="2:14" x14ac:dyDescent="0.25">
      <c r="B29" s="193"/>
      <c r="C29" s="193"/>
      <c r="D29" s="536"/>
      <c r="E29" s="509"/>
      <c r="F29" s="536"/>
      <c r="G29" s="537"/>
      <c r="H29" s="537"/>
      <c r="I29" s="509"/>
      <c r="J29" s="537"/>
      <c r="K29" s="537"/>
      <c r="L29" s="537"/>
      <c r="M29" s="509"/>
    </row>
    <row r="30" spans="2:14" ht="13.5" thickBot="1" x14ac:dyDescent="0.3"/>
    <row r="31" spans="2:14" ht="18.399999999999999" customHeight="1" thickBot="1" x14ac:dyDescent="0.3">
      <c r="B31" s="892" t="s">
        <v>779</v>
      </c>
      <c r="C31" s="893"/>
      <c r="D31" s="893"/>
      <c r="E31" s="893"/>
      <c r="F31" s="893"/>
      <c r="G31" s="893"/>
      <c r="H31" s="893"/>
      <c r="I31" s="893"/>
      <c r="J31" s="893"/>
      <c r="K31" s="893"/>
      <c r="L31" s="893"/>
      <c r="M31" s="893"/>
      <c r="N31" s="894"/>
    </row>
    <row r="32" spans="2:14" ht="13.5" thickBot="1" x14ac:dyDescent="0.3"/>
    <row r="33" spans="2:13" ht="21" customHeight="1" x14ac:dyDescent="0.25">
      <c r="B33" s="902" t="s">
        <v>780</v>
      </c>
      <c r="C33" s="903"/>
      <c r="D33" s="904" t="s">
        <v>102</v>
      </c>
      <c r="E33" s="905"/>
      <c r="F33" s="538" t="s">
        <v>103</v>
      </c>
      <c r="G33" s="904" t="s">
        <v>104</v>
      </c>
      <c r="H33" s="906"/>
      <c r="I33" s="906"/>
      <c r="J33" s="906"/>
      <c r="K33" s="907"/>
    </row>
    <row r="34" spans="2:13" x14ac:dyDescent="0.25">
      <c r="B34" s="920"/>
      <c r="C34" s="882"/>
      <c r="D34" s="921" t="str">
        <f>Formulaire!B23</f>
        <v>CFA externe - Partenaire</v>
      </c>
      <c r="E34" s="922"/>
      <c r="F34" s="525">
        <f>IF(Formulaire!C23&gt;0,Formulaire!C23,0)</f>
        <v>0</v>
      </c>
      <c r="G34" s="918">
        <f>Formulaire!D23</f>
        <v>0</v>
      </c>
      <c r="H34" s="918"/>
      <c r="I34" s="918"/>
      <c r="J34" s="918"/>
      <c r="K34" s="919"/>
    </row>
    <row r="35" spans="2:13" x14ac:dyDescent="0.25">
      <c r="B35" s="920"/>
      <c r="C35" s="882"/>
      <c r="D35" s="918" t="str">
        <f>Formulaire!B25</f>
        <v>Subv publique (Région, Métropole, …) ou privée</v>
      </c>
      <c r="E35" s="918"/>
      <c r="F35" s="525">
        <f>Formulaire!C25</f>
        <v>0</v>
      </c>
      <c r="G35" s="918">
        <f>Formulaire!D25</f>
        <v>0</v>
      </c>
      <c r="H35" s="918"/>
      <c r="I35" s="918"/>
      <c r="J35" s="918"/>
      <c r="K35" s="919"/>
    </row>
    <row r="36" spans="2:13" x14ac:dyDescent="0.25">
      <c r="B36" s="920"/>
      <c r="C36" s="882"/>
      <c r="D36" s="923" t="str">
        <f>Formulaire!B26</f>
        <v>Ministère</v>
      </c>
      <c r="E36" s="924"/>
      <c r="F36" s="525">
        <f>Formulaire!C26</f>
        <v>0</v>
      </c>
      <c r="G36" s="918">
        <f>Formulaire!D26</f>
        <v>0</v>
      </c>
      <c r="H36" s="918"/>
      <c r="I36" s="918"/>
      <c r="J36" s="918"/>
      <c r="K36" s="919"/>
    </row>
    <row r="37" spans="2:13" ht="13.5" thickBot="1" x14ac:dyDescent="0.3">
      <c r="B37" s="914" t="s">
        <v>781</v>
      </c>
      <c r="C37" s="915"/>
      <c r="D37" s="915"/>
      <c r="E37" s="915"/>
      <c r="F37" s="539">
        <f>SUM(F34:F36)</f>
        <v>0</v>
      </c>
      <c r="G37" s="916"/>
      <c r="H37" s="916"/>
      <c r="I37" s="916"/>
      <c r="J37" s="916"/>
      <c r="K37" s="917"/>
      <c r="L37" s="509"/>
      <c r="M37" s="509"/>
    </row>
    <row r="38" spans="2:13" x14ac:dyDescent="0.25">
      <c r="F38" s="257"/>
    </row>
    <row r="39" spans="2:13" ht="32.65" customHeight="1" x14ac:dyDescent="0.25"/>
  </sheetData>
  <sheetProtection formatCells="0" formatColumns="0" formatRows="0" autoFilter="0"/>
  <mergeCells count="46">
    <mergeCell ref="B37:E37"/>
    <mergeCell ref="G37:K37"/>
    <mergeCell ref="G34:K34"/>
    <mergeCell ref="G36:K36"/>
    <mergeCell ref="G35:K35"/>
    <mergeCell ref="B34:C34"/>
    <mergeCell ref="B35:C35"/>
    <mergeCell ref="B36:C36"/>
    <mergeCell ref="D34:E34"/>
    <mergeCell ref="D35:E35"/>
    <mergeCell ref="D36:E36"/>
    <mergeCell ref="B31:N31"/>
    <mergeCell ref="B33:C33"/>
    <mergeCell ref="D33:E33"/>
    <mergeCell ref="G33:K33"/>
    <mergeCell ref="M19:N19"/>
    <mergeCell ref="M20:N20"/>
    <mergeCell ref="M21:N21"/>
    <mergeCell ref="M22:N22"/>
    <mergeCell ref="M23:N23"/>
    <mergeCell ref="M24:N24"/>
    <mergeCell ref="M25:N25"/>
    <mergeCell ref="M26:N26"/>
    <mergeCell ref="M27:N27"/>
    <mergeCell ref="B28:C28"/>
    <mergeCell ref="M28:N28"/>
    <mergeCell ref="M18:N18"/>
    <mergeCell ref="B13:N13"/>
    <mergeCell ref="H10:J10"/>
    <mergeCell ref="H11:J11"/>
    <mergeCell ref="I8:K8"/>
    <mergeCell ref="C8:D8"/>
    <mergeCell ref="B10:D10"/>
    <mergeCell ref="F10:G11"/>
    <mergeCell ref="B11:D11"/>
    <mergeCell ref="M15:N15"/>
    <mergeCell ref="C7:D7"/>
    <mergeCell ref="H7:K7"/>
    <mergeCell ref="B2:M2"/>
    <mergeCell ref="D4:E4"/>
    <mergeCell ref="H4:K4"/>
    <mergeCell ref="D6:E6"/>
    <mergeCell ref="H6:K6"/>
    <mergeCell ref="D5:E5"/>
    <mergeCell ref="H5:K5"/>
    <mergeCell ref="C4:C5"/>
  </mergeCells>
  <conditionalFormatting sqref="E10">
    <cfRule type="cellIs" dxfId="21" priority="22" operator="lessThan">
      <formula>0</formula>
    </cfRule>
    <cfRule type="cellIs" dxfId="20" priority="23" operator="greaterThan">
      <formula>0</formula>
    </cfRule>
  </conditionalFormatting>
  <conditionalFormatting sqref="E11">
    <cfRule type="cellIs" dxfId="19" priority="17" operator="lessThan">
      <formula>0</formula>
    </cfRule>
    <cfRule type="cellIs" dxfId="18" priority="18" operator="greaterThan">
      <formula>0</formula>
    </cfRule>
  </conditionalFormatting>
  <conditionalFormatting sqref="D18:D27 E18">
    <cfRule type="expression" dxfId="17" priority="5" stopIfTrue="1">
      <formula>AND(C18=$P$16,D18&lt;$Q$16)</formula>
    </cfRule>
    <cfRule type="expression" dxfId="16" priority="6" stopIfTrue="1">
      <formula>AND(C18=$P$15,D18&gt;$R$15)</formula>
    </cfRule>
    <cfRule type="expression" dxfId="15" priority="7" stopIfTrue="1">
      <formula>AND(C18=$P$15,D18&lt;$Q$15)</formula>
    </cfRule>
  </conditionalFormatting>
  <conditionalFormatting sqref="K10">
    <cfRule type="cellIs" dxfId="14" priority="3" operator="lessThan">
      <formula>0</formula>
    </cfRule>
    <cfRule type="cellIs" dxfId="13" priority="4" operator="greaterThan">
      <formula>0</formula>
    </cfRule>
  </conditionalFormatting>
  <conditionalFormatting sqref="G28">
    <cfRule type="cellIs" dxfId="12" priority="2" operator="notEqual">
      <formula>$E$8</formula>
    </cfRule>
  </conditionalFormatting>
  <dataValidations disablePrompts="1" count="1">
    <dataValidation type="list" allowBlank="1" showInputMessage="1" showErrorMessage="1" sqref="C21:C27" xr:uid="{00000000-0002-0000-0100-000000000000}">
      <formula1>"Formation continue,Contrat d'apprentissage,Contrat de professionnalisation"</formula1>
    </dataValidation>
  </dataValidations>
  <pageMargins left="0.7" right="0.7" top="0.75" bottom="0.75" header="0.3" footer="0.3"/>
  <pageSetup paperSize="9" orientation="portrait" r:id="rId1"/>
  <ignoredErrors>
    <ignoredError sqref="D21:D27 E7:E8 H4:K5 E5 F34:K36 D34:E36 C18:C19 E6 H18:H20 I7:K7 I6:K6 F16" unlockedFormula="1"/>
  </ignoredErrors>
  <legacyDrawing r:id="rId2"/>
  <extLst>
    <ext xmlns:x14="http://schemas.microsoft.com/office/spreadsheetml/2009/9/main" uri="{78C0D931-6437-407d-A8EE-F0AAD7539E65}">
      <x14:conditionalFormattings>
        <x14:conditionalFormatting xmlns:xm="http://schemas.microsoft.com/office/excel/2006/main">
          <x14:cfRule type="cellIs" priority="1" operator="notEqual" id="{06E0DEA9-8848-4D46-A2EE-46D413DCF792}">
            <xm:f>Formulaire!$C$22+Formulaire!$C$23+Formulaire!$C$24</xm:f>
            <x14:dxf>
              <font>
                <color rgb="FFFF0000"/>
              </font>
            </x14:dxf>
          </x14:cfRule>
          <xm:sqref>H28</xm:sqref>
        </x14:conditionalFormatting>
      </x14:conditionalFormatting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4BD7AB-0EBD-4143-AEDA-CCC716B9B723}">
  <dimension ref="A1:R39"/>
  <sheetViews>
    <sheetView showZeros="0" zoomScale="85" zoomScaleNormal="85" workbookViewId="0">
      <pane ySplit="12" topLeftCell="A13" activePane="bottomLeft" state="frozen"/>
      <selection pane="bottomLeft" activeCell="B2" sqref="B2:M2"/>
    </sheetView>
  </sheetViews>
  <sheetFormatPr baseColWidth="10" defaultColWidth="11.453125" defaultRowHeight="13" x14ac:dyDescent="0.25"/>
  <cols>
    <col min="1" max="1" width="3.1796875" style="12" customWidth="1"/>
    <col min="2" max="2" width="12.7265625" style="12" customWidth="1"/>
    <col min="3" max="3" width="28.81640625" style="12" customWidth="1"/>
    <col min="4" max="6" width="11.453125" style="12"/>
    <col min="7" max="7" width="11.453125" style="12" customWidth="1"/>
    <col min="8" max="10" width="11.453125" style="12"/>
    <col min="11" max="11" width="11.453125" style="12" customWidth="1"/>
    <col min="12" max="12" width="11.7265625" style="12" customWidth="1"/>
    <col min="13" max="13" width="11.453125" style="12" customWidth="1"/>
    <col min="14" max="14" width="24.26953125" style="12" customWidth="1"/>
    <col min="15" max="15" width="9.7265625" style="12" customWidth="1"/>
    <col min="16" max="17" width="6.7265625" style="12" customWidth="1"/>
    <col min="18" max="16384" width="11.453125" style="12"/>
  </cols>
  <sheetData>
    <row r="1" spans="1:18" ht="7.15" customHeight="1" thickBot="1" x14ac:dyDescent="0.3">
      <c r="H1" s="257"/>
      <c r="I1" s="13"/>
      <c r="J1" s="14"/>
      <c r="K1" s="257"/>
      <c r="L1" s="257"/>
    </row>
    <row r="2" spans="1:18" ht="28.15" customHeight="1" thickBot="1" x14ac:dyDescent="0.3">
      <c r="A2" s="185"/>
      <c r="B2" s="879" t="s">
        <v>782</v>
      </c>
      <c r="C2" s="880"/>
      <c r="D2" s="880"/>
      <c r="E2" s="880"/>
      <c r="F2" s="880"/>
      <c r="G2" s="880"/>
      <c r="H2" s="880"/>
      <c r="I2" s="880"/>
      <c r="J2" s="880"/>
      <c r="K2" s="880"/>
      <c r="L2" s="880"/>
      <c r="M2" s="881"/>
    </row>
    <row r="3" spans="1:18" ht="12.4" customHeight="1" x14ac:dyDescent="0.25">
      <c r="F3" s="257"/>
      <c r="G3" s="257"/>
      <c r="H3" s="257"/>
      <c r="I3" s="257"/>
      <c r="J3" s="14"/>
      <c r="K3" s="257"/>
      <c r="L3" s="257"/>
    </row>
    <row r="4" spans="1:18" ht="22.15" customHeight="1" x14ac:dyDescent="0.25">
      <c r="C4" s="889" t="s">
        <v>745</v>
      </c>
      <c r="D4" s="876" t="s">
        <v>746</v>
      </c>
      <c r="E4" s="882"/>
      <c r="G4" s="189" t="s">
        <v>77</v>
      </c>
      <c r="H4" s="876" t="str">
        <f>Formulaire!B9</f>
        <v>DU</v>
      </c>
      <c r="I4" s="883"/>
      <c r="J4" s="883"/>
      <c r="K4" s="884"/>
    </row>
    <row r="5" spans="1:18" ht="22.15" customHeight="1" x14ac:dyDescent="0.25">
      <c r="C5" s="889"/>
      <c r="D5" s="876" t="str">
        <f>Formulaire!B8</f>
        <v>Composante</v>
      </c>
      <c r="E5" s="882"/>
      <c r="G5" s="189" t="s">
        <v>81</v>
      </c>
      <c r="H5" s="876" t="str">
        <f>Formulaire!B10</f>
        <v>non</v>
      </c>
      <c r="I5" s="883"/>
      <c r="J5" s="883"/>
      <c r="K5" s="884"/>
    </row>
    <row r="6" spans="1:18" ht="30.75" customHeight="1" x14ac:dyDescent="0.25">
      <c r="C6" s="189" t="s">
        <v>747</v>
      </c>
      <c r="D6" s="885" t="str">
        <f>IFERROR(INDEX(Paramétrage!AA:AA,MATCH(Formulaire!B12,Paramétrage!V:V,0)),"-")</f>
        <v>-</v>
      </c>
      <c r="E6" s="882"/>
      <c r="G6" s="189" t="s">
        <v>748</v>
      </c>
      <c r="H6" s="886">
        <f>Formulaire!B12</f>
        <v>0</v>
      </c>
      <c r="I6" s="887"/>
      <c r="J6" s="887"/>
      <c r="K6" s="888"/>
    </row>
    <row r="7" spans="1:18" ht="22.15" customHeight="1" thickBot="1" x14ac:dyDescent="0.3">
      <c r="C7" s="874" t="s">
        <v>79</v>
      </c>
      <c r="D7" s="875"/>
      <c r="E7" s="192">
        <f>Formulaire!F9</f>
        <v>0</v>
      </c>
      <c r="G7" s="189" t="s">
        <v>76</v>
      </c>
      <c r="H7" s="876" t="str">
        <f>Formulaire!B11</f>
        <v>IPsyL</v>
      </c>
      <c r="I7" s="877"/>
      <c r="J7" s="877"/>
      <c r="K7" s="878"/>
    </row>
    <row r="8" spans="1:18" ht="22.15" customHeight="1" thickBot="1" x14ac:dyDescent="0.3">
      <c r="C8" s="874" t="s">
        <v>83</v>
      </c>
      <c r="D8" s="875"/>
      <c r="E8" s="192">
        <f>Formulaire!F10</f>
        <v>0</v>
      </c>
      <c r="G8" s="193" t="s">
        <v>329</v>
      </c>
      <c r="I8" s="896" t="str">
        <f>Formulaire!B2</f>
        <v>2026-2027</v>
      </c>
      <c r="J8" s="897"/>
      <c r="K8" s="898"/>
    </row>
    <row r="9" spans="1:18" ht="18" customHeight="1" x14ac:dyDescent="0.25">
      <c r="E9" s="257"/>
      <c r="G9" s="509"/>
    </row>
    <row r="10" spans="1:18" ht="22" customHeight="1" x14ac:dyDescent="0.25">
      <c r="B10" s="899" t="s">
        <v>749</v>
      </c>
      <c r="C10" s="899"/>
      <c r="D10" s="899"/>
      <c r="E10" s="510">
        <f>'Budget détaillé réel'!J86</f>
        <v>0</v>
      </c>
      <c r="F10" s="900" t="s">
        <v>750</v>
      </c>
      <c r="G10" s="900"/>
      <c r="H10" s="895" t="s">
        <v>751</v>
      </c>
      <c r="I10" s="895"/>
      <c r="J10" s="895"/>
      <c r="K10" s="510">
        <f>'Budget détaillé réel'!K86</f>
        <v>0</v>
      </c>
    </row>
    <row r="11" spans="1:18" ht="22" customHeight="1" x14ac:dyDescent="0.25">
      <c r="B11" s="899" t="s">
        <v>752</v>
      </c>
      <c r="C11" s="899"/>
      <c r="D11" s="899"/>
      <c r="E11" s="510">
        <f>E10+K10</f>
        <v>0</v>
      </c>
      <c r="F11" s="900"/>
      <c r="G11" s="900"/>
      <c r="H11" s="895" t="s">
        <v>117</v>
      </c>
      <c r="I11" s="895"/>
      <c r="J11" s="895"/>
      <c r="K11" s="510">
        <f>'Budget détaillé réel'!K70</f>
        <v>0</v>
      </c>
    </row>
    <row r="12" spans="1:18" ht="16.899999999999999" customHeight="1" thickBot="1" x14ac:dyDescent="0.3"/>
    <row r="13" spans="1:18" ht="18.399999999999999" customHeight="1" thickBot="1" x14ac:dyDescent="0.3">
      <c r="B13" s="892" t="s">
        <v>753</v>
      </c>
      <c r="C13" s="893"/>
      <c r="D13" s="893"/>
      <c r="E13" s="893"/>
      <c r="F13" s="893"/>
      <c r="G13" s="893"/>
      <c r="H13" s="893"/>
      <c r="I13" s="893"/>
      <c r="J13" s="893"/>
      <c r="K13" s="893"/>
      <c r="L13" s="893"/>
      <c r="M13" s="893"/>
      <c r="N13" s="894"/>
    </row>
    <row r="14" spans="1:18" ht="13.5" thickBot="1" x14ac:dyDescent="0.3"/>
    <row r="15" spans="1:18" ht="55.15" customHeight="1" thickBot="1" x14ac:dyDescent="0.3">
      <c r="B15" s="511" t="s">
        <v>754</v>
      </c>
      <c r="C15" s="512" t="s">
        <v>755</v>
      </c>
      <c r="D15" s="512" t="s">
        <v>164</v>
      </c>
      <c r="E15" s="512" t="s">
        <v>756</v>
      </c>
      <c r="F15" s="512" t="s">
        <v>757</v>
      </c>
      <c r="G15" s="512" t="s">
        <v>758</v>
      </c>
      <c r="H15" s="512" t="s">
        <v>147</v>
      </c>
      <c r="I15" s="513" t="s">
        <v>759</v>
      </c>
      <c r="J15" s="512" t="s">
        <v>760</v>
      </c>
      <c r="K15" s="512" t="s">
        <v>761</v>
      </c>
      <c r="L15" s="512" t="s">
        <v>762</v>
      </c>
      <c r="M15" s="901" t="s">
        <v>763</v>
      </c>
      <c r="N15" s="881"/>
      <c r="P15" s="221" t="s">
        <v>764</v>
      </c>
      <c r="Q15" s="221">
        <v>250</v>
      </c>
      <c r="R15" s="221">
        <v>400</v>
      </c>
    </row>
    <row r="16" spans="1:18" ht="20.65" customHeight="1" thickBot="1" x14ac:dyDescent="0.3">
      <c r="B16" s="514" t="s">
        <v>765</v>
      </c>
      <c r="C16" s="515"/>
      <c r="D16" s="515"/>
      <c r="E16" s="516"/>
      <c r="F16" s="517">
        <f>IF(H4="Master",254,IF(OR(H4="Licence",H4="LP",H4="BUT")=TRUE,178,IF(OR(H4="DU",H4="VAE")=TRUE,57,0)))</f>
        <v>57</v>
      </c>
      <c r="G16" s="192">
        <f>IF(E7=0,0,E7-(Formulaire!E11+Formulaire!E12))</f>
        <v>0</v>
      </c>
      <c r="H16" s="518">
        <f>F16*G16</f>
        <v>0</v>
      </c>
      <c r="I16" s="519"/>
      <c r="J16" s="520"/>
      <c r="K16" s="520"/>
      <c r="L16" s="520"/>
      <c r="M16" s="520"/>
      <c r="N16" s="521"/>
      <c r="P16" s="221" t="s">
        <v>766</v>
      </c>
      <c r="Q16" s="221">
        <v>400</v>
      </c>
      <c r="R16" s="221"/>
    </row>
    <row r="17" spans="2:14" ht="21" customHeight="1" x14ac:dyDescent="0.25">
      <c r="B17" s="522" t="s">
        <v>767</v>
      </c>
      <c r="C17" s="523"/>
      <c r="D17" s="523"/>
      <c r="E17" s="523"/>
      <c r="F17" s="523"/>
      <c r="G17" s="523"/>
      <c r="H17" s="523"/>
      <c r="I17" s="523"/>
      <c r="J17" s="523"/>
      <c r="K17" s="523"/>
      <c r="L17" s="523"/>
      <c r="M17" s="523"/>
      <c r="N17" s="524"/>
    </row>
    <row r="18" spans="2:14" x14ac:dyDescent="0.25">
      <c r="B18" s="296" t="s">
        <v>768</v>
      </c>
      <c r="C18" s="434" t="str">
        <f>Formulaire!D11</f>
        <v>Contrat d'apprentissage (CA)</v>
      </c>
      <c r="D18" s="395" t="str">
        <f>IF(G18=0,"",IF(H4="VAE",Enseignement!$K$5,Enseignement!$L$5))</f>
        <v/>
      </c>
      <c r="E18" s="525"/>
      <c r="F18" s="526"/>
      <c r="G18" s="192">
        <f>IF($D$5="CFA externe",0,Formulaire!F11)</f>
        <v>0</v>
      </c>
      <c r="H18" s="626"/>
      <c r="I18" s="518" t="str">
        <f>IFERROR(IF(D18=0,0,E18/D18),"")</f>
        <v/>
      </c>
      <c r="J18" s="527"/>
      <c r="K18" s="518">
        <f>(E18*G18)*(1-J18)+F18*G18</f>
        <v>0</v>
      </c>
      <c r="L18" s="518" t="str">
        <f>IFERROR(IF((D18*G18)=0,0,K18/(D18*G18)),"")</f>
        <v/>
      </c>
      <c r="M18" s="890"/>
      <c r="N18" s="891"/>
    </row>
    <row r="19" spans="2:14" x14ac:dyDescent="0.25">
      <c r="B19" s="296" t="s">
        <v>769</v>
      </c>
      <c r="C19" s="434" t="str">
        <f>Formulaire!D12</f>
        <v>Contrat de professionnalisation (CP)</v>
      </c>
      <c r="D19" s="395" t="str">
        <f>IF(G19=0,"",IF(H4="VAE",Enseignement!$K$4,Enseignement!$L$4))</f>
        <v/>
      </c>
      <c r="E19" s="525"/>
      <c r="F19" s="525"/>
      <c r="G19" s="192">
        <f>IF($D$5="CFA externe",0,Formulaire!F12)</f>
        <v>0</v>
      </c>
      <c r="H19" s="626"/>
      <c r="I19" s="518" t="str">
        <f t="shared" ref="I19:I27" si="0">IFERROR(IF(D19=0,0,E19/D19),"")</f>
        <v/>
      </c>
      <c r="J19" s="527"/>
      <c r="K19" s="518">
        <f t="shared" ref="K19:K27" si="1">(E19*G19)*(1-J19)+F19*G19</f>
        <v>0</v>
      </c>
      <c r="L19" s="518" t="str">
        <f t="shared" ref="L19:L27" si="2">IFERROR(IF((D19*G19)=0,0,K19/(D19*G19)),"")</f>
        <v/>
      </c>
      <c r="M19" s="908"/>
      <c r="N19" s="909"/>
    </row>
    <row r="20" spans="2:14" x14ac:dyDescent="0.25">
      <c r="B20" s="296" t="s">
        <v>770</v>
      </c>
      <c r="C20" s="434" t="str">
        <f>Formulaire!D13</f>
        <v>Formation continue (FC)</v>
      </c>
      <c r="D20" s="395" t="str">
        <f>IF(G20=0,"",IF(H4="VAE",Enseignement!$K$4,Enseignement!$L$4))</f>
        <v/>
      </c>
      <c r="E20" s="525"/>
      <c r="F20" s="525"/>
      <c r="G20" s="192">
        <f>Formulaire!F13</f>
        <v>0</v>
      </c>
      <c r="H20" s="626"/>
      <c r="I20" s="518" t="str">
        <f t="shared" si="0"/>
        <v/>
      </c>
      <c r="J20" s="527"/>
      <c r="K20" s="518">
        <f t="shared" si="1"/>
        <v>0</v>
      </c>
      <c r="L20" s="518" t="str">
        <f t="shared" si="2"/>
        <v/>
      </c>
      <c r="M20" s="908"/>
      <c r="N20" s="909"/>
    </row>
    <row r="21" spans="2:14" x14ac:dyDescent="0.25">
      <c r="B21" s="296" t="s">
        <v>771</v>
      </c>
      <c r="C21" s="627"/>
      <c r="D21" s="395" t="str">
        <f>IF(G21=0,"",Enseignement!$Q$8)</f>
        <v/>
      </c>
      <c r="E21" s="525"/>
      <c r="F21" s="525"/>
      <c r="G21" s="573"/>
      <c r="H21" s="626"/>
      <c r="I21" s="518" t="str">
        <f t="shared" si="0"/>
        <v/>
      </c>
      <c r="J21" s="527"/>
      <c r="K21" s="518">
        <f t="shared" si="1"/>
        <v>0</v>
      </c>
      <c r="L21" s="518" t="str">
        <f t="shared" si="2"/>
        <v/>
      </c>
      <c r="M21" s="908"/>
      <c r="N21" s="909"/>
    </row>
    <row r="22" spans="2:14" x14ac:dyDescent="0.25">
      <c r="B22" s="296" t="s">
        <v>772</v>
      </c>
      <c r="C22" s="627"/>
      <c r="D22" s="395" t="str">
        <f>IF(G22=0,"",Enseignement!$Q$8)</f>
        <v/>
      </c>
      <c r="E22" s="525"/>
      <c r="F22" s="525"/>
      <c r="G22" s="573"/>
      <c r="H22" s="626"/>
      <c r="I22" s="518" t="str">
        <f t="shared" si="0"/>
        <v/>
      </c>
      <c r="J22" s="527"/>
      <c r="K22" s="518">
        <f t="shared" si="1"/>
        <v>0</v>
      </c>
      <c r="L22" s="518" t="str">
        <f t="shared" si="2"/>
        <v/>
      </c>
      <c r="M22" s="908"/>
      <c r="N22" s="909"/>
    </row>
    <row r="23" spans="2:14" x14ac:dyDescent="0.25">
      <c r="B23" s="296" t="s">
        <v>773</v>
      </c>
      <c r="C23" s="627"/>
      <c r="D23" s="395" t="str">
        <f>IF(G23=0,"",Enseignement!$Q$8)</f>
        <v/>
      </c>
      <c r="E23" s="525"/>
      <c r="F23" s="525"/>
      <c r="G23" s="573"/>
      <c r="H23" s="626"/>
      <c r="I23" s="518" t="str">
        <f t="shared" si="0"/>
        <v/>
      </c>
      <c r="J23" s="527"/>
      <c r="K23" s="518">
        <f t="shared" si="1"/>
        <v>0</v>
      </c>
      <c r="L23" s="518" t="str">
        <f t="shared" si="2"/>
        <v/>
      </c>
      <c r="M23" s="890"/>
      <c r="N23" s="891"/>
    </row>
    <row r="24" spans="2:14" x14ac:dyDescent="0.25">
      <c r="B24" s="296" t="s">
        <v>774</v>
      </c>
      <c r="C24" s="627"/>
      <c r="D24" s="395" t="str">
        <f>IF(G24=0,"",Enseignement!$Q$8)</f>
        <v/>
      </c>
      <c r="E24" s="525"/>
      <c r="F24" s="525"/>
      <c r="G24" s="573"/>
      <c r="H24" s="626"/>
      <c r="I24" s="518" t="str">
        <f t="shared" si="0"/>
        <v/>
      </c>
      <c r="J24" s="527"/>
      <c r="K24" s="518">
        <f t="shared" si="1"/>
        <v>0</v>
      </c>
      <c r="L24" s="518" t="str">
        <f t="shared" si="2"/>
        <v/>
      </c>
      <c r="M24" s="890"/>
      <c r="N24" s="891"/>
    </row>
    <row r="25" spans="2:14" x14ac:dyDescent="0.25">
      <c r="B25" s="296" t="s">
        <v>775</v>
      </c>
      <c r="C25" s="627"/>
      <c r="D25" s="395" t="str">
        <f>IF(G25=0,"",Enseignement!$Q$8)</f>
        <v/>
      </c>
      <c r="E25" s="525"/>
      <c r="F25" s="525"/>
      <c r="G25" s="573"/>
      <c r="H25" s="626"/>
      <c r="I25" s="518" t="str">
        <f t="shared" si="0"/>
        <v/>
      </c>
      <c r="J25" s="527"/>
      <c r="K25" s="518">
        <f t="shared" si="1"/>
        <v>0</v>
      </c>
      <c r="L25" s="518" t="str">
        <f t="shared" si="2"/>
        <v/>
      </c>
      <c r="M25" s="908"/>
      <c r="N25" s="909"/>
    </row>
    <row r="26" spans="2:14" x14ac:dyDescent="0.25">
      <c r="B26" s="296" t="s">
        <v>776</v>
      </c>
      <c r="C26" s="627"/>
      <c r="D26" s="395" t="str">
        <f>IF(G26=0,"",Enseignement!$Q$8)</f>
        <v/>
      </c>
      <c r="E26" s="525"/>
      <c r="F26" s="525"/>
      <c r="G26" s="573"/>
      <c r="H26" s="626"/>
      <c r="I26" s="518" t="str">
        <f t="shared" si="0"/>
        <v/>
      </c>
      <c r="J26" s="527"/>
      <c r="K26" s="518">
        <f t="shared" si="1"/>
        <v>0</v>
      </c>
      <c r="L26" s="518" t="str">
        <f t="shared" si="2"/>
        <v/>
      </c>
      <c r="M26" s="890"/>
      <c r="N26" s="891"/>
    </row>
    <row r="27" spans="2:14" x14ac:dyDescent="0.25">
      <c r="B27" s="528" t="s">
        <v>777</v>
      </c>
      <c r="C27" s="628"/>
      <c r="D27" s="395" t="str">
        <f>IF(G27=0,"",Enseignement!$Q$8)</f>
        <v/>
      </c>
      <c r="E27" s="529"/>
      <c r="F27" s="525"/>
      <c r="G27" s="573"/>
      <c r="H27" s="626"/>
      <c r="I27" s="518" t="str">
        <f t="shared" si="0"/>
        <v/>
      </c>
      <c r="J27" s="527"/>
      <c r="K27" s="518">
        <f t="shared" si="1"/>
        <v>0</v>
      </c>
      <c r="L27" s="518" t="str">
        <f t="shared" si="2"/>
        <v/>
      </c>
      <c r="M27" s="890"/>
      <c r="N27" s="891"/>
    </row>
    <row r="28" spans="2:14" ht="20.5" customHeight="1" thickBot="1" x14ac:dyDescent="0.3">
      <c r="B28" s="910" t="s">
        <v>778</v>
      </c>
      <c r="C28" s="911"/>
      <c r="D28" s="530">
        <f>IF(G28=0,0,SUMPRODUCT(D18:D27,G18:G27)/G28)</f>
        <v>0</v>
      </c>
      <c r="E28" s="531"/>
      <c r="F28" s="532"/>
      <c r="G28" s="533">
        <f>SUM(G18:G27)</f>
        <v>0</v>
      </c>
      <c r="H28" s="534">
        <f>SUM(H18:H27)</f>
        <v>0</v>
      </c>
      <c r="I28" s="535">
        <f>IF(SUMPRODUCT(G18:G27,D18:D27)=0,0,H28/SUMPRODUCT(G18:G27,D18:D27))</f>
        <v>0</v>
      </c>
      <c r="J28" s="532"/>
      <c r="K28" s="540">
        <f>SUM(K18:K27)</f>
        <v>0</v>
      </c>
      <c r="L28" s="534">
        <f>IF(D28=0,0,IF(SUMPRODUCT(G18:G27,D18:D27)=0,0,K28/SUMPRODUCT(G18:G27,D18:D27)))</f>
        <v>0</v>
      </c>
      <c r="M28" s="912"/>
      <c r="N28" s="913"/>
    </row>
    <row r="29" spans="2:14" x14ac:dyDescent="0.25">
      <c r="B29" s="193"/>
      <c r="C29" s="193"/>
      <c r="D29" s="536"/>
      <c r="E29" s="509"/>
      <c r="F29" s="536"/>
      <c r="G29" s="537"/>
      <c r="H29" s="537"/>
      <c r="I29" s="509"/>
      <c r="J29" s="537"/>
      <c r="K29" s="537"/>
      <c r="L29" s="537"/>
      <c r="M29" s="509"/>
    </row>
    <row r="30" spans="2:14" ht="13.5" thickBot="1" x14ac:dyDescent="0.3"/>
    <row r="31" spans="2:14" ht="18.399999999999999" customHeight="1" thickBot="1" x14ac:dyDescent="0.3">
      <c r="B31" s="892" t="s">
        <v>779</v>
      </c>
      <c r="C31" s="893"/>
      <c r="D31" s="893"/>
      <c r="E31" s="893"/>
      <c r="F31" s="893"/>
      <c r="G31" s="893"/>
      <c r="H31" s="893"/>
      <c r="I31" s="893"/>
      <c r="J31" s="893"/>
      <c r="K31" s="893"/>
      <c r="L31" s="893"/>
      <c r="M31" s="893"/>
      <c r="N31" s="894"/>
    </row>
    <row r="32" spans="2:14" ht="13.5" thickBot="1" x14ac:dyDescent="0.3"/>
    <row r="33" spans="2:13" ht="21" customHeight="1" x14ac:dyDescent="0.25">
      <c r="B33" s="902" t="s">
        <v>780</v>
      </c>
      <c r="C33" s="925"/>
      <c r="D33" s="904" t="s">
        <v>102</v>
      </c>
      <c r="E33" s="905"/>
      <c r="F33" s="538" t="s">
        <v>103</v>
      </c>
      <c r="G33" s="904" t="s">
        <v>104</v>
      </c>
      <c r="H33" s="906"/>
      <c r="I33" s="906"/>
      <c r="J33" s="906"/>
      <c r="K33" s="907"/>
    </row>
    <row r="34" spans="2:13" x14ac:dyDescent="0.25">
      <c r="B34" s="920"/>
      <c r="C34" s="882"/>
      <c r="D34" s="921" t="str">
        <f>Formulaire!B28</f>
        <v>CFA externe - Partenaire</v>
      </c>
      <c r="E34" s="922"/>
      <c r="F34" s="525">
        <f>IF(Formulaire!C28&gt;0,Formulaire!C28,0)</f>
        <v>0</v>
      </c>
      <c r="G34" s="918">
        <f>Formulaire!D28</f>
        <v>0</v>
      </c>
      <c r="H34" s="918"/>
      <c r="I34" s="918"/>
      <c r="J34" s="918"/>
      <c r="K34" s="919"/>
    </row>
    <row r="35" spans="2:13" x14ac:dyDescent="0.25">
      <c r="B35" s="920"/>
      <c r="C35" s="882"/>
      <c r="D35" s="918" t="str">
        <f>Formulaire!B30</f>
        <v>Subv publique (Région, Métropole, …) ou privée</v>
      </c>
      <c r="E35" s="918"/>
      <c r="F35" s="525">
        <f>Formulaire!C30</f>
        <v>0</v>
      </c>
      <c r="G35" s="918">
        <f>Formulaire!D30</f>
        <v>0</v>
      </c>
      <c r="H35" s="918"/>
      <c r="I35" s="918"/>
      <c r="J35" s="918"/>
      <c r="K35" s="919"/>
    </row>
    <row r="36" spans="2:13" x14ac:dyDescent="0.25">
      <c r="B36" s="920"/>
      <c r="C36" s="882"/>
      <c r="D36" s="921" t="str">
        <f>Formulaire!B31</f>
        <v>Ministère</v>
      </c>
      <c r="E36" s="922"/>
      <c r="F36" s="525">
        <f>Formulaire!C31</f>
        <v>0</v>
      </c>
      <c r="G36" s="918">
        <f>Formulaire!D31</f>
        <v>0</v>
      </c>
      <c r="H36" s="918"/>
      <c r="I36" s="918"/>
      <c r="J36" s="918"/>
      <c r="K36" s="919"/>
    </row>
    <row r="37" spans="2:13" ht="13.5" thickBot="1" x14ac:dyDescent="0.3">
      <c r="B37" s="914" t="s">
        <v>781</v>
      </c>
      <c r="C37" s="915"/>
      <c r="D37" s="915"/>
      <c r="E37" s="915"/>
      <c r="F37" s="539">
        <f>SUM(F34:F36)</f>
        <v>0</v>
      </c>
      <c r="G37" s="916"/>
      <c r="H37" s="916"/>
      <c r="I37" s="916"/>
      <c r="J37" s="916"/>
      <c r="K37" s="917"/>
      <c r="L37" s="509"/>
      <c r="M37" s="509"/>
    </row>
    <row r="38" spans="2:13" x14ac:dyDescent="0.25">
      <c r="F38" s="257"/>
    </row>
    <row r="39" spans="2:13" ht="32.65" customHeight="1" x14ac:dyDescent="0.25"/>
  </sheetData>
  <sheetProtection formatCells="0" formatColumns="0" formatRows="0" autoFilter="0"/>
  <mergeCells count="46">
    <mergeCell ref="D6:E6"/>
    <mergeCell ref="H6:K6"/>
    <mergeCell ref="B2:M2"/>
    <mergeCell ref="D4:E4"/>
    <mergeCell ref="H4:K4"/>
    <mergeCell ref="D5:E5"/>
    <mergeCell ref="H5:K5"/>
    <mergeCell ref="C4:C5"/>
    <mergeCell ref="M21:N21"/>
    <mergeCell ref="C7:D7"/>
    <mergeCell ref="H7:K7"/>
    <mergeCell ref="C8:D8"/>
    <mergeCell ref="B10:D10"/>
    <mergeCell ref="F10:G11"/>
    <mergeCell ref="H10:J10"/>
    <mergeCell ref="B11:D11"/>
    <mergeCell ref="H11:J11"/>
    <mergeCell ref="B13:N13"/>
    <mergeCell ref="M15:N15"/>
    <mergeCell ref="M18:N18"/>
    <mergeCell ref="M19:N19"/>
    <mergeCell ref="M20:N20"/>
    <mergeCell ref="I8:K8"/>
    <mergeCell ref="M22:N22"/>
    <mergeCell ref="M23:N23"/>
    <mergeCell ref="M24:N24"/>
    <mergeCell ref="M25:N25"/>
    <mergeCell ref="M26:N26"/>
    <mergeCell ref="M27:N27"/>
    <mergeCell ref="B28:C28"/>
    <mergeCell ref="M28:N28"/>
    <mergeCell ref="B31:N31"/>
    <mergeCell ref="G33:K33"/>
    <mergeCell ref="D33:E33"/>
    <mergeCell ref="B33:C33"/>
    <mergeCell ref="B37:E37"/>
    <mergeCell ref="G37:K37"/>
    <mergeCell ref="G34:K34"/>
    <mergeCell ref="G36:K36"/>
    <mergeCell ref="G35:K35"/>
    <mergeCell ref="B34:C34"/>
    <mergeCell ref="D34:E34"/>
    <mergeCell ref="B35:C35"/>
    <mergeCell ref="D35:E35"/>
    <mergeCell ref="B36:C36"/>
    <mergeCell ref="D36:E36"/>
  </mergeCells>
  <conditionalFormatting sqref="E10">
    <cfRule type="cellIs" dxfId="10" priority="11" operator="lessThan">
      <formula>0</formula>
    </cfRule>
    <cfRule type="cellIs" dxfId="9" priority="12" operator="greaterThan">
      <formula>0</formula>
    </cfRule>
  </conditionalFormatting>
  <conditionalFormatting sqref="E11">
    <cfRule type="cellIs" dxfId="8" priority="6" operator="lessThan">
      <formula>0</formula>
    </cfRule>
    <cfRule type="cellIs" dxfId="7" priority="7" operator="greaterThan">
      <formula>0</formula>
    </cfRule>
  </conditionalFormatting>
  <conditionalFormatting sqref="D18:D27">
    <cfRule type="expression" dxfId="6" priority="8" stopIfTrue="1">
      <formula>AND(C18=$P$16,D18&lt;$Q$16)</formula>
    </cfRule>
    <cfRule type="expression" dxfId="5" priority="9" stopIfTrue="1">
      <formula>AND(C18=$P$15,D18&gt;$R$15)</formula>
    </cfRule>
    <cfRule type="expression" dxfId="4" priority="10" stopIfTrue="1">
      <formula>AND(C18=$P$15,D18&lt;$Q$15)</formula>
    </cfRule>
  </conditionalFormatting>
  <conditionalFormatting sqref="G28">
    <cfRule type="cellIs" dxfId="3" priority="4" operator="notEqual">
      <formula>$E$8</formula>
    </cfRule>
  </conditionalFormatting>
  <conditionalFormatting sqref="K10">
    <cfRule type="cellIs" dxfId="2" priority="1" operator="lessThan">
      <formula>0</formula>
    </cfRule>
    <cfRule type="cellIs" dxfId="1" priority="2" operator="greaterThan">
      <formula>0</formula>
    </cfRule>
  </conditionalFormatting>
  <dataValidations count="1">
    <dataValidation type="list" allowBlank="1" showInputMessage="1" showErrorMessage="1" sqref="C21:C27" xr:uid="{F881C348-CA49-460E-97EE-69C0B10E0CAB}">
      <formula1>"Formation continue,Contrat d'apprentissage,Contrat de professionnalisation"</formula1>
    </dataValidation>
  </dataValidations>
  <pageMargins left="0.7" right="0.7" top="0.75" bottom="0.75" header="0.3" footer="0.3"/>
  <pageSetup paperSize="9" orientation="portrait" r:id="rId1"/>
  <ignoredErrors>
    <ignoredError sqref="D21:D27 E7:E9 H4:K5 E5 F35:K36 E34:K34 D35:E36 D34 E6 I7:K7 I6:K6" unlockedFormula="1"/>
  </ignoredErrors>
  <legacyDrawing r:id="rId2"/>
  <extLst>
    <ext xmlns:x14="http://schemas.microsoft.com/office/spreadsheetml/2009/9/main" uri="{78C0D931-6437-407d-A8EE-F0AAD7539E65}">
      <x14:conditionalFormattings>
        <x14:conditionalFormatting xmlns:xm="http://schemas.microsoft.com/office/excel/2006/main">
          <x14:cfRule type="cellIs" priority="3" operator="notEqual" id="{125CB167-E34E-40EB-9C16-973B123604B1}">
            <xm:f>Formulaire!$C$27+Formulaire!$C$28+Formulaire!$C$29</xm:f>
            <x14:dxf>
              <font>
                <color rgb="FFFF0000"/>
              </font>
            </x14:dxf>
          </x14:cfRule>
          <xm:sqref>H28</xm:sqref>
        </x14:conditionalFormatting>
      </x14:conditionalFormatting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E84242"/>
    <pageSetUpPr fitToPage="1"/>
  </sheetPr>
  <dimension ref="A1:X86"/>
  <sheetViews>
    <sheetView showGridLines="0" showZeros="0" zoomScale="65" zoomScaleNormal="100" zoomScaleSheetLayoutView="70" workbookViewId="0">
      <pane ySplit="9" topLeftCell="A10" activePane="bottomLeft" state="frozen"/>
      <selection pane="bottomLeft" activeCell="D61" sqref="D61"/>
    </sheetView>
  </sheetViews>
  <sheetFormatPr baseColWidth="10" defaultColWidth="11.453125" defaultRowHeight="12.5" outlineLevelCol="1" x14ac:dyDescent="0.25"/>
  <cols>
    <col min="1" max="1" width="1.26953125" customWidth="1"/>
    <col min="2" max="2" width="8.81640625" customWidth="1"/>
    <col min="3" max="3" width="14.7265625" customWidth="1"/>
    <col min="4" max="4" width="16.453125" customWidth="1"/>
    <col min="5" max="5" width="14.7265625" customWidth="1"/>
    <col min="6" max="6" width="7.81640625" customWidth="1"/>
    <col min="7" max="7" width="11.81640625" customWidth="1"/>
    <col min="8" max="10" width="11.7265625" customWidth="1"/>
    <col min="11" max="11" width="13.453125" customWidth="1"/>
    <col min="12" max="16" width="11" hidden="1" customWidth="1" outlineLevel="1"/>
    <col min="17" max="17" width="11.1796875" customWidth="1" collapsed="1"/>
    <col min="18" max="18" width="6.7265625" customWidth="1"/>
    <col min="19" max="19" width="6.7265625" bestFit="1" customWidth="1"/>
    <col min="20" max="20" width="15.1796875" customWidth="1"/>
    <col min="21" max="21" width="24.453125" bestFit="1" customWidth="1"/>
  </cols>
  <sheetData>
    <row r="1" spans="1:24" ht="7.15" customHeight="1" thickBot="1" x14ac:dyDescent="0.3">
      <c r="A1" s="185"/>
      <c r="B1" s="185"/>
      <c r="C1" s="185"/>
      <c r="D1" s="185"/>
      <c r="E1" s="185"/>
      <c r="F1" s="185"/>
      <c r="G1" s="185"/>
      <c r="H1" s="186"/>
      <c r="I1" s="16"/>
      <c r="J1" s="17"/>
      <c r="K1" s="186"/>
      <c r="L1" s="186"/>
      <c r="M1" s="186"/>
      <c r="N1" s="186"/>
      <c r="O1" s="186"/>
      <c r="P1" s="186"/>
      <c r="Q1" s="12"/>
      <c r="R1" s="12"/>
      <c r="S1" s="185"/>
      <c r="T1" s="185"/>
      <c r="U1" s="185"/>
      <c r="V1" s="185"/>
    </row>
    <row r="2" spans="1:24" ht="28.15" customHeight="1" thickBot="1" x14ac:dyDescent="0.3">
      <c r="A2" s="185"/>
      <c r="B2" s="926" t="s">
        <v>783</v>
      </c>
      <c r="C2" s="927"/>
      <c r="D2" s="927"/>
      <c r="E2" s="927"/>
      <c r="F2" s="927"/>
      <c r="G2" s="927"/>
      <c r="H2" s="927"/>
      <c r="I2" s="927"/>
      <c r="J2" s="927"/>
      <c r="K2" s="928"/>
      <c r="L2" s="879" t="s">
        <v>784</v>
      </c>
      <c r="M2" s="880"/>
      <c r="N2" s="880"/>
      <c r="O2" s="880"/>
      <c r="P2" s="881"/>
      <c r="Q2" s="12"/>
      <c r="R2" s="12"/>
      <c r="S2" s="185"/>
      <c r="T2" s="185"/>
      <c r="U2" s="185"/>
      <c r="V2" s="185"/>
    </row>
    <row r="3" spans="1:24" ht="15" customHeight="1" x14ac:dyDescent="0.25">
      <c r="A3" s="185"/>
      <c r="B3" s="187"/>
      <c r="C3" s="187"/>
      <c r="D3" s="187"/>
      <c r="E3" s="187"/>
      <c r="F3" s="187"/>
      <c r="G3" s="187"/>
      <c r="H3" s="187"/>
      <c r="I3" s="187"/>
      <c r="J3" s="187"/>
      <c r="K3" s="187"/>
      <c r="L3" s="187"/>
      <c r="M3" s="187"/>
      <c r="N3" s="187"/>
      <c r="O3" s="187"/>
      <c r="P3" s="187"/>
      <c r="Q3" s="12"/>
      <c r="R3" s="12"/>
      <c r="S3" s="185"/>
      <c r="T3" s="185"/>
      <c r="U3" s="185"/>
      <c r="V3" s="185"/>
    </row>
    <row r="4" spans="1:24" ht="22.15" customHeight="1" x14ac:dyDescent="0.25">
      <c r="A4" s="185"/>
      <c r="B4" s="185"/>
      <c r="C4" s="932" t="s">
        <v>745</v>
      </c>
      <c r="D4" s="876" t="s">
        <v>746</v>
      </c>
      <c r="E4" s="882"/>
      <c r="F4" s="185"/>
      <c r="G4" s="188" t="s">
        <v>77</v>
      </c>
      <c r="H4" s="929" t="str">
        <f>Formulaire!B9</f>
        <v>DU</v>
      </c>
      <c r="I4" s="930" t="e">
        <f>Formulaire!#REF!</f>
        <v>#REF!</v>
      </c>
      <c r="J4" s="930" t="e">
        <f>Formulaire!#REF!</f>
        <v>#REF!</v>
      </c>
      <c r="K4" s="931">
        <f>Formulaire!L5</f>
        <v>0</v>
      </c>
      <c r="L4" s="186"/>
      <c r="M4" s="186"/>
      <c r="N4" s="186"/>
      <c r="O4" s="186"/>
      <c r="P4" s="186"/>
      <c r="Q4" s="12"/>
      <c r="R4" s="12"/>
      <c r="S4" s="185"/>
      <c r="T4" s="185"/>
      <c r="U4" s="185"/>
      <c r="V4" s="185"/>
    </row>
    <row r="5" spans="1:24" ht="21.75" customHeight="1" x14ac:dyDescent="0.25">
      <c r="A5" s="185"/>
      <c r="B5" s="185"/>
      <c r="C5" s="932"/>
      <c r="D5" s="929" t="str">
        <f>Formulaire!B8</f>
        <v>Composante</v>
      </c>
      <c r="E5" s="931"/>
      <c r="F5" s="185"/>
      <c r="G5" s="189" t="s">
        <v>81</v>
      </c>
      <c r="H5" s="929" t="str">
        <f>Formulaire!B10</f>
        <v>non</v>
      </c>
      <c r="I5" s="930">
        <f>Formulaire!J6</f>
        <v>0</v>
      </c>
      <c r="J5" s="930">
        <f>Formulaire!K6</f>
        <v>0</v>
      </c>
      <c r="K5" s="931">
        <f>Formulaire!L6</f>
        <v>0</v>
      </c>
      <c r="L5" s="186"/>
      <c r="M5" s="186"/>
      <c r="N5" s="186"/>
      <c r="O5" s="186"/>
      <c r="P5" s="186"/>
      <c r="Q5" s="12"/>
      <c r="R5" s="12"/>
      <c r="S5" s="185"/>
      <c r="T5" s="185"/>
      <c r="U5" s="185"/>
      <c r="V5" s="185"/>
    </row>
    <row r="6" spans="1:24" ht="30.75" customHeight="1" x14ac:dyDescent="0.25">
      <c r="A6" s="185"/>
      <c r="B6" s="185"/>
      <c r="C6" s="188" t="s">
        <v>747</v>
      </c>
      <c r="D6" s="929" t="str">
        <f>IF(LEFT(Formulaire!$B$8,3)="CFA",'Recettes et simulat prev'!D6,"-")</f>
        <v>-</v>
      </c>
      <c r="E6" s="931"/>
      <c r="F6" s="185"/>
      <c r="G6" s="188" t="s">
        <v>748</v>
      </c>
      <c r="H6" s="929">
        <f>Formulaire!B12</f>
        <v>0</v>
      </c>
      <c r="I6" s="930" t="str">
        <f>Formulaire!J7</f>
        <v>Prévisionnel</v>
      </c>
      <c r="J6" s="930" t="str">
        <f>Formulaire!K7</f>
        <v>Réel</v>
      </c>
      <c r="K6" s="931">
        <f>Formulaire!L7</f>
        <v>0</v>
      </c>
      <c r="L6" s="186"/>
      <c r="M6" s="186"/>
      <c r="N6" s="186"/>
      <c r="O6" s="186"/>
      <c r="P6" s="186"/>
      <c r="Q6" s="12"/>
      <c r="R6" s="12"/>
      <c r="S6" s="185"/>
      <c r="T6" s="185"/>
      <c r="U6" s="185"/>
      <c r="V6" s="185"/>
    </row>
    <row r="7" spans="1:24" ht="22.4" customHeight="1" thickBot="1" x14ac:dyDescent="0.3">
      <c r="A7" s="185"/>
      <c r="B7" s="185"/>
      <c r="C7" s="190" t="s">
        <v>79</v>
      </c>
      <c r="D7" s="191"/>
      <c r="E7" s="192">
        <f>Formulaire!E9</f>
        <v>20</v>
      </c>
      <c r="F7" s="185"/>
      <c r="G7" s="188" t="s">
        <v>76</v>
      </c>
      <c r="H7" s="886" t="str">
        <f>Formulaire!B11</f>
        <v>IPsyL</v>
      </c>
      <c r="I7" s="930">
        <f>Formulaire!J9</f>
        <v>0</v>
      </c>
      <c r="J7" s="930">
        <f>Formulaire!K9</f>
        <v>0</v>
      </c>
      <c r="K7" s="931">
        <f>Formulaire!L9</f>
        <v>0</v>
      </c>
      <c r="L7" s="186"/>
      <c r="M7" s="186"/>
      <c r="N7" s="186"/>
      <c r="O7" s="186"/>
      <c r="P7" s="186"/>
      <c r="Q7" s="12"/>
      <c r="R7" s="12"/>
      <c r="S7" s="185"/>
      <c r="T7" s="185"/>
      <c r="U7" s="185"/>
      <c r="V7" s="185"/>
    </row>
    <row r="8" spans="1:24" ht="22.4" customHeight="1" thickBot="1" x14ac:dyDescent="0.3">
      <c r="A8" s="185"/>
      <c r="B8" s="185"/>
      <c r="C8" s="190" t="s">
        <v>83</v>
      </c>
      <c r="D8" s="191"/>
      <c r="E8" s="192">
        <f>Formulaire!E10</f>
        <v>20</v>
      </c>
      <c r="F8" s="185"/>
      <c r="G8" s="193" t="s">
        <v>329</v>
      </c>
      <c r="H8" s="185"/>
      <c r="I8" s="896" t="str">
        <f>Formulaire!B2</f>
        <v>2026-2027</v>
      </c>
      <c r="J8" s="897"/>
      <c r="K8" s="898"/>
      <c r="L8" s="185"/>
      <c r="M8" s="185"/>
      <c r="N8" s="185"/>
      <c r="O8" s="185"/>
      <c r="P8" s="185"/>
      <c r="Q8" s="12"/>
      <c r="R8" s="12"/>
      <c r="S8" s="185"/>
      <c r="T8" s="185"/>
      <c r="U8" s="185"/>
      <c r="V8" s="185"/>
    </row>
    <row r="9" spans="1:24" ht="16.149999999999999" customHeight="1" thickBot="1" x14ac:dyDescent="0.3">
      <c r="A9" s="185"/>
      <c r="B9" s="185"/>
      <c r="C9" s="185"/>
      <c r="D9" s="185"/>
      <c r="E9" s="185"/>
      <c r="F9" s="185"/>
      <c r="G9" s="194"/>
      <c r="H9" s="185"/>
      <c r="I9" s="185"/>
      <c r="J9" s="185"/>
      <c r="K9" s="185"/>
      <c r="L9" s="185"/>
      <c r="M9" s="185"/>
      <c r="N9" s="185"/>
      <c r="O9" s="185"/>
      <c r="P9" s="185"/>
      <c r="Q9" s="12"/>
      <c r="R9" s="12"/>
      <c r="S9" s="185"/>
      <c r="T9" s="185"/>
      <c r="U9" s="147"/>
      <c r="V9" s="147"/>
    </row>
    <row r="10" spans="1:24" ht="24.4" customHeight="1" thickBot="1" x14ac:dyDescent="0.3">
      <c r="A10" s="185"/>
      <c r="B10" s="879" t="s">
        <v>785</v>
      </c>
      <c r="C10" s="880"/>
      <c r="D10" s="880"/>
      <c r="E10" s="880"/>
      <c r="F10" s="880"/>
      <c r="G10" s="880"/>
      <c r="H10" s="880"/>
      <c r="I10" s="880"/>
      <c r="J10" s="880"/>
      <c r="K10" s="881"/>
      <c r="L10" s="195"/>
      <c r="M10" s="196"/>
      <c r="N10" s="196"/>
      <c r="O10" s="196"/>
      <c r="P10" s="197"/>
      <c r="Q10" s="12"/>
      <c r="R10" s="12"/>
      <c r="S10" s="185"/>
      <c r="T10" s="12"/>
      <c r="U10" s="12"/>
      <c r="V10" s="12"/>
    </row>
    <row r="11" spans="1:24" s="12" customFormat="1" ht="12.4" customHeight="1" thickBot="1" x14ac:dyDescent="0.3">
      <c r="B11" s="198"/>
      <c r="C11" s="199"/>
      <c r="D11" s="199"/>
      <c r="E11" s="199"/>
      <c r="F11" s="199"/>
      <c r="G11" s="199"/>
      <c r="H11" s="199"/>
      <c r="I11" s="199"/>
      <c r="J11" s="199"/>
      <c r="K11" s="199"/>
      <c r="L11" s="199"/>
      <c r="M11" s="199"/>
      <c r="N11" s="199"/>
      <c r="O11" s="199"/>
      <c r="P11" s="200"/>
      <c r="V11" s="185"/>
    </row>
    <row r="12" spans="1:24" s="185" customFormat="1" ht="39.5" thickBot="1" x14ac:dyDescent="0.3">
      <c r="B12" s="201" t="s">
        <v>786</v>
      </c>
      <c r="C12" s="934" t="s">
        <v>787</v>
      </c>
      <c r="D12" s="935"/>
      <c r="E12" s="935"/>
      <c r="F12" s="936"/>
      <c r="G12" s="202" t="s">
        <v>788</v>
      </c>
      <c r="H12" s="18" t="s">
        <v>789</v>
      </c>
      <c r="I12" s="18" t="s">
        <v>712</v>
      </c>
      <c r="J12" s="19" t="s">
        <v>790</v>
      </c>
      <c r="K12" s="20" t="s">
        <v>791</v>
      </c>
      <c r="L12" s="34" t="s">
        <v>792</v>
      </c>
      <c r="M12" s="19" t="s">
        <v>793</v>
      </c>
      <c r="N12" s="19" t="s">
        <v>794</v>
      </c>
      <c r="O12" s="44" t="s">
        <v>795</v>
      </c>
      <c r="P12" s="21" t="s">
        <v>147</v>
      </c>
      <c r="Q12" s="22"/>
      <c r="R12" s="35"/>
      <c r="T12" s="12"/>
      <c r="U12" s="12"/>
      <c r="V12" s="203"/>
    </row>
    <row r="13" spans="1:24" s="203" customFormat="1" ht="21.4" customHeight="1" thickBot="1" x14ac:dyDescent="0.3">
      <c r="B13" s="204" t="s">
        <v>796</v>
      </c>
      <c r="C13" s="205"/>
      <c r="D13" s="206"/>
      <c r="E13" s="206"/>
      <c r="F13" s="206"/>
      <c r="G13" s="207">
        <f>G19+G26+G31</f>
        <v>165</v>
      </c>
      <c r="H13" s="208">
        <f>IF(G19+G26+G31=0,0,(I19+I26+I31)/(G19+G26+G31))</f>
        <v>110.79765395894428</v>
      </c>
      <c r="I13" s="209">
        <f>I19+I31+I26</f>
        <v>18281.612903225807</v>
      </c>
      <c r="J13" s="210">
        <f t="shared" ref="J13:P13" si="0">J19+J31+J26</f>
        <v>0</v>
      </c>
      <c r="K13" s="211">
        <f>K19+K31+K26</f>
        <v>18281.612903225807</v>
      </c>
      <c r="L13" s="212">
        <f t="shared" si="0"/>
        <v>0</v>
      </c>
      <c r="M13" s="208">
        <f t="shared" si="0"/>
        <v>0</v>
      </c>
      <c r="N13" s="209">
        <f t="shared" si="0"/>
        <v>0</v>
      </c>
      <c r="O13" s="208">
        <f t="shared" si="0"/>
        <v>0</v>
      </c>
      <c r="P13" s="211">
        <f t="shared" si="0"/>
        <v>0</v>
      </c>
      <c r="Q13" s="213">
        <f>IF($K$79=0,0,K13/$K$79)</f>
        <v>0.3653399860756556</v>
      </c>
      <c r="R13" s="214" t="s">
        <v>797</v>
      </c>
      <c r="S13" s="185"/>
      <c r="T13" s="12"/>
      <c r="U13" s="12"/>
      <c r="V13" s="185"/>
    </row>
    <row r="14" spans="1:24" s="185" customFormat="1" ht="16.899999999999999" customHeight="1" x14ac:dyDescent="0.25">
      <c r="B14" s="23" t="s">
        <v>798</v>
      </c>
      <c r="C14" s="215" t="s">
        <v>799</v>
      </c>
      <c r="D14" s="216"/>
      <c r="E14" s="216"/>
      <c r="F14" s="217"/>
      <c r="G14" s="218"/>
      <c r="H14" s="24"/>
      <c r="I14" s="218"/>
      <c r="J14" s="218"/>
      <c r="K14" s="25"/>
      <c r="L14" s="26"/>
      <c r="M14" s="24"/>
      <c r="N14" s="24"/>
      <c r="O14" s="24"/>
      <c r="P14" s="25"/>
      <c r="Q14" s="666"/>
      <c r="R14" s="232">
        <f>SUMIF(Enseignement!$J$9:$J$132,Paramétrage!$D$6,Enseignement!Z$9:Z$132)*Paramétrage!$G$6+SUMIF(Enseignement!$J$9:$J$132,Paramétrage!$D$7,Enseignement!Z$9:Z$132)*Paramétrage!$G$7+SUMIF(Enseignement!$J$9:$J$132,Paramétrage!$D$8,Enseignement!Z$9:Z$132)*Paramétrage!$G$8+SUMIF(Enseignement!$J$9:$J$132,Paramétrage!$D$11,Enseignement!Z$9:Z$132)*Paramétrage!$G$11+SUMIF(Enseignement!$J$9:$J$132,Paramétrage!$D$12,Enseignement!Z$9:Z$132)*Paramétrage!$G$12+SUMIF(Enseignement!$J$9:$J$132,Paramétrage!$D$13,Enseignement!Z$9:Z$132)*Paramétrage!$G$13+SUMIF(Enseignement!$J$9:$J$132,Paramétrage!$D$14,Enseignement!Z$9:Z$132)*Paramétrage!$G$14+SUMIF(Enseignement!$J$9:$J$132,Paramétrage!$D$15,Enseignement!Z$9:Z$132)*Paramétrage!$G$15+SUMIF(Enseignement!$J$9:$J$132,Paramétrage!$D$16,Enseignement!Z$9:Z$132)*Paramétrage!$G$16+SUMIF(Enseignement!$J$9:$J$132,Paramétrage!$D$17,Enseignement!Z$9:Z$132)*Paramétrage!$G$17+SUMIF(Enseignement!$J$9:$J$132,Paramétrage!$D$18,Enseignement!Z$9:Z$132)*Paramétrage!$G$18+SUMIF(Enseignement!$J$9:$J$132,Paramétrage!$D$19,Enseignement!Z$9:Z$132)*Paramétrage!$G$19+SUMIF(Enseignement!$J$9:$J$132,Paramétrage!$D$20,Enseignement!Z$9:Z$132)*Paramétrage!$G$20+SUMIF(Enseignement!$J$9:$J$132,Paramétrage!$D$21,Enseignement!Z$9:Z$132)*Paramétrage!$G$21+SUMIF(Enseignement!$J$9:$J$132,Paramétrage!$D$22,Enseignement!Z$9:Z$132)*Paramétrage!$G$22+SUMIF(Enseignement!$J$9:$J$132,Paramétrage!$D$23,Enseignement!Z$9:Z$132)*Paramétrage!$G$23+SUMIF(Enseignement!$J$9:$J$132,Paramétrage!$D$24,Enseignement!Z$9:Z$132)*Paramétrage!$G$24+SUMIF(Enseignement!$J$9:$J$132,Paramétrage!$D$25,Enseignement!Z$9:Z$132)*Paramétrage!$G$25+SUMIF(Enseignement!$J$9:$J$132,Paramétrage!$D$26,Enseignement!Z$9:Z$132)*Paramétrage!$G$26+SUMIF(Enseignement!$J$9:$J$132,Paramétrage!$D$27,Enseignement!Z$9:Z$132)*Paramétrage!$G$27+SUMIF(Enseignement!$J$9:$J$132,Paramétrage!$D$28,Enseignement!Z$9:Z$132)*Paramétrage!$G$28+SUMIF(Enseignement!$J$9:$J$132,Paramétrage!$D$29,Enseignement!Z$9:Z$132)*Paramétrage!$G$29</f>
        <v>34</v>
      </c>
      <c r="S14" s="221"/>
      <c r="T14" s="222"/>
      <c r="U14" s="221"/>
      <c r="V14" s="203"/>
    </row>
    <row r="15" spans="1:24" s="203" customFormat="1" ht="16.899999999999999" customHeight="1" x14ac:dyDescent="0.25">
      <c r="B15" s="27" t="s">
        <v>713</v>
      </c>
      <c r="C15" s="787" t="s">
        <v>714</v>
      </c>
      <c r="D15" s="933"/>
      <c r="E15" s="933"/>
      <c r="F15" s="788"/>
      <c r="G15" s="395">
        <f>'calcul heures'!G7</f>
        <v>18</v>
      </c>
      <c r="H15" s="223">
        <f>Paramétrage!S18</f>
        <v>247</v>
      </c>
      <c r="I15" s="224">
        <f>H15*G15</f>
        <v>4446</v>
      </c>
      <c r="J15" s="224">
        <f>'calcul heures'!H7*H15</f>
        <v>0</v>
      </c>
      <c r="K15" s="225">
        <f>'calcul heures'!I7*H15</f>
        <v>4446</v>
      </c>
      <c r="L15" s="226"/>
      <c r="M15" s="15"/>
      <c r="N15" s="15"/>
      <c r="O15" s="15"/>
      <c r="P15" s="227">
        <f>SUM(L15:O15)</f>
        <v>0</v>
      </c>
      <c r="Q15" s="220"/>
      <c r="R15" s="220"/>
      <c r="S15" s="220"/>
      <c r="T15" s="220"/>
      <c r="U15" s="169" t="s">
        <v>800</v>
      </c>
      <c r="V15" s="228"/>
      <c r="W15" s="541"/>
      <c r="X15" s="12"/>
    </row>
    <row r="16" spans="1:24" s="203" customFormat="1" ht="16.899999999999999" customHeight="1" x14ac:dyDescent="0.25">
      <c r="B16" s="27" t="s">
        <v>715</v>
      </c>
      <c r="C16" s="787" t="s">
        <v>716</v>
      </c>
      <c r="D16" s="933"/>
      <c r="E16" s="933"/>
      <c r="F16" s="788"/>
      <c r="G16" s="192">
        <f>'calcul heures'!G8</f>
        <v>26</v>
      </c>
      <c r="H16" s="223">
        <f>Paramétrage!S19</f>
        <v>130</v>
      </c>
      <c r="I16" s="229">
        <f>H16*G16</f>
        <v>3380</v>
      </c>
      <c r="J16" s="224">
        <f>'calcul heures'!H8*H16</f>
        <v>0</v>
      </c>
      <c r="K16" s="225">
        <f>'calcul heures'!I8*H16</f>
        <v>3380</v>
      </c>
      <c r="L16" s="226"/>
      <c r="M16" s="15"/>
      <c r="N16" s="15"/>
      <c r="O16" s="15"/>
      <c r="P16" s="230">
        <f>SUM(L16:O16)</f>
        <v>0</v>
      </c>
      <c r="Q16" s="220"/>
      <c r="R16" s="220"/>
      <c r="S16" s="220"/>
    </row>
    <row r="17" spans="2:23" s="203" customFormat="1" ht="16.899999999999999" customHeight="1" x14ac:dyDescent="0.25">
      <c r="B17" s="27" t="s">
        <v>717</v>
      </c>
      <c r="C17" s="787" t="s">
        <v>718</v>
      </c>
      <c r="D17" s="933"/>
      <c r="E17" s="933"/>
      <c r="F17" s="788"/>
      <c r="G17" s="192">
        <f>'calcul heures'!G9</f>
        <v>34</v>
      </c>
      <c r="H17" s="223">
        <f>Paramétrage!S20</f>
        <v>62</v>
      </c>
      <c r="I17" s="229">
        <f>H17*G17</f>
        <v>2108</v>
      </c>
      <c r="J17" s="224">
        <f>'calcul heures'!H9*H17</f>
        <v>0</v>
      </c>
      <c r="K17" s="225">
        <f>'calcul heures'!I9*H17</f>
        <v>2108</v>
      </c>
      <c r="L17" s="226"/>
      <c r="M17" s="15"/>
      <c r="N17" s="15"/>
      <c r="O17" s="15"/>
      <c r="P17" s="230">
        <f>SUM(L17:O17)</f>
        <v>0</v>
      </c>
      <c r="Q17" s="220"/>
      <c r="R17" s="220"/>
      <c r="S17" s="231"/>
      <c r="T17" s="220"/>
      <c r="V17" s="232"/>
    </row>
    <row r="18" spans="2:23" s="203" customFormat="1" ht="18.399999999999999" customHeight="1" x14ac:dyDescent="0.25">
      <c r="B18" s="27" t="s">
        <v>719</v>
      </c>
      <c r="C18" s="787" t="s">
        <v>720</v>
      </c>
      <c r="D18" s="933"/>
      <c r="E18" s="933"/>
      <c r="F18" s="788"/>
      <c r="G18" s="192">
        <f>'calcul heures'!G10</f>
        <v>46</v>
      </c>
      <c r="H18" s="223">
        <f>Paramétrage!S21</f>
        <v>46</v>
      </c>
      <c r="I18" s="229">
        <f>H18*G18</f>
        <v>2116</v>
      </c>
      <c r="J18" s="224">
        <f>'calcul heures'!H10*H18</f>
        <v>0</v>
      </c>
      <c r="K18" s="225">
        <f>'calcul heures'!I10*H18</f>
        <v>2116</v>
      </c>
      <c r="L18" s="226"/>
      <c r="M18" s="226"/>
      <c r="N18" s="233"/>
      <c r="O18" s="15"/>
      <c r="P18" s="230">
        <f>SUM(L18:O18)</f>
        <v>0</v>
      </c>
      <c r="Q18" s="234"/>
      <c r="R18" s="220"/>
      <c r="S18" s="220"/>
      <c r="T18" s="220"/>
      <c r="U18" s="220"/>
      <c r="V18" s="232"/>
    </row>
    <row r="19" spans="2:23" s="203" customFormat="1" ht="22.15" customHeight="1" thickBot="1" x14ac:dyDescent="0.3">
      <c r="B19" s="937" t="s">
        <v>721</v>
      </c>
      <c r="C19" s="938"/>
      <c r="D19" s="938"/>
      <c r="E19" s="938"/>
      <c r="F19" s="939"/>
      <c r="G19" s="235">
        <f>SUM(G15:G18)</f>
        <v>124</v>
      </c>
      <c r="H19" s="236">
        <f>IF(G19=0,0,I19/G19)</f>
        <v>97.177419354838705</v>
      </c>
      <c r="I19" s="237">
        <f t="shared" ref="I19:P19" si="1">SUM(I15:I18)</f>
        <v>12050</v>
      </c>
      <c r="J19" s="238">
        <f t="shared" si="1"/>
        <v>0</v>
      </c>
      <c r="K19" s="239">
        <f t="shared" si="1"/>
        <v>12050</v>
      </c>
      <c r="L19" s="240">
        <f t="shared" si="1"/>
        <v>0</v>
      </c>
      <c r="M19" s="237">
        <f t="shared" si="1"/>
        <v>0</v>
      </c>
      <c r="N19" s="237">
        <f t="shared" si="1"/>
        <v>0</v>
      </c>
      <c r="O19" s="237">
        <f t="shared" si="1"/>
        <v>0</v>
      </c>
      <c r="P19" s="239">
        <f t="shared" si="1"/>
        <v>0</v>
      </c>
      <c r="Q19" s="213">
        <f>IF($K$79=0,0,K19/$K$79)</f>
        <v>0.24080735411670665</v>
      </c>
      <c r="R19" s="214" t="s">
        <v>797</v>
      </c>
      <c r="S19" s="185"/>
      <c r="T19" s="12"/>
      <c r="U19" s="12"/>
      <c r="V19" s="185"/>
    </row>
    <row r="20" spans="2:23" s="185" customFormat="1" ht="16.899999999999999" customHeight="1" x14ac:dyDescent="0.25">
      <c r="B20" s="23" t="s">
        <v>722</v>
      </c>
      <c r="C20" s="215" t="s">
        <v>723</v>
      </c>
      <c r="D20" s="216"/>
      <c r="E20" s="216"/>
      <c r="F20" s="217"/>
      <c r="G20" s="218"/>
      <c r="H20" s="24"/>
      <c r="I20" s="218"/>
      <c r="J20" s="218"/>
      <c r="K20" s="25"/>
      <c r="L20" s="26"/>
      <c r="M20" s="24"/>
      <c r="N20" s="24"/>
      <c r="O20" s="24"/>
      <c r="P20" s="25"/>
      <c r="Q20" s="241"/>
      <c r="R20" s="12"/>
      <c r="S20" s="12"/>
      <c r="T20" s="12"/>
      <c r="U20" s="203"/>
      <c r="V20" s="203"/>
    </row>
    <row r="21" spans="2:23" s="203" customFormat="1" ht="16.899999999999999" customHeight="1" x14ac:dyDescent="0.25">
      <c r="B21" s="27" t="s">
        <v>724</v>
      </c>
      <c r="C21" s="242" t="s">
        <v>801</v>
      </c>
      <c r="D21" s="405"/>
      <c r="E21" s="405"/>
      <c r="F21" s="406"/>
      <c r="G21" s="180">
        <f>'calcul heures'!G13</f>
        <v>0</v>
      </c>
      <c r="H21" s="243">
        <f>IF(G21=0,0,(SUMIF(Enseignement!$J$9:$J$132,Paramétrage!$D$15,Enseignement!X$9:X$132)*$H$15+SUMIF(Enseignement!$J$9:$J$132,Paramétrage!$D$15,Enseignement!Y$9:Y$132)*$H$16+SUMIF(Enseignement!$J$9:$J$132,Paramétrage!$D$15,Enseignement!Z$9:Z$132)*$H$17+SUMIF(Enseignement!$J$9:$J$132,Paramétrage!$D$15,Enseignement!AA$9:AA$132)*$H$18)/G21)</f>
        <v>0</v>
      </c>
      <c r="I21" s="224">
        <f>H21*G21</f>
        <v>0</v>
      </c>
      <c r="J21" s="229">
        <f>'calcul heures'!H13*H21</f>
        <v>0</v>
      </c>
      <c r="K21" s="225">
        <f>'calcul heures'!I13*H21</f>
        <v>0</v>
      </c>
      <c r="L21" s="226"/>
      <c r="M21" s="233"/>
      <c r="N21" s="233"/>
      <c r="O21" s="15"/>
      <c r="P21" s="227">
        <f>SUM(L21:O21)</f>
        <v>0</v>
      </c>
      <c r="Q21" s="220"/>
      <c r="R21" s="220"/>
      <c r="S21" s="231"/>
      <c r="T21" s="234"/>
      <c r="V21" s="220"/>
      <c r="W21" s="221"/>
    </row>
    <row r="22" spans="2:23" s="203" customFormat="1" ht="16.899999999999999" customHeight="1" x14ac:dyDescent="0.25">
      <c r="B22" s="27" t="s">
        <v>726</v>
      </c>
      <c r="C22" s="787" t="s">
        <v>802</v>
      </c>
      <c r="D22" s="933"/>
      <c r="E22" s="933"/>
      <c r="F22" s="788"/>
      <c r="G22" s="162">
        <f>'calcul heures'!G14</f>
        <v>0</v>
      </c>
      <c r="H22" s="243">
        <f>IF(G22=0,0,(SUMIF(Enseignement!$J$9:$J$132,Paramétrage!$D$18,Enseignement!X$9:X$132)*$H$15+SUMIF(Enseignement!$J$9:$J$132,Paramétrage!$D$18,Enseignement!Y$9:Y$132)*$H$16+SUMIF(Enseignement!$J$9:$J$132,Paramétrage!$D$18,Enseignement!Z$9:Z$132)*$H$17+SUMIF(Enseignement!$J$9:$J$132,Paramétrage!$D$18,Enseignement!AA$9:AA$132)*$H$18)/G22)</f>
        <v>0</v>
      </c>
      <c r="I22" s="224">
        <f>H22*G22</f>
        <v>0</v>
      </c>
      <c r="J22" s="229">
        <f>'calcul heures'!H14*H22</f>
        <v>0</v>
      </c>
      <c r="K22" s="225">
        <f>'calcul heures'!I14*H22</f>
        <v>0</v>
      </c>
      <c r="L22" s="15"/>
      <c r="M22" s="15"/>
      <c r="N22" s="15"/>
      <c r="O22" s="15"/>
      <c r="P22" s="230">
        <f>SUM(L22:O22)</f>
        <v>0</v>
      </c>
      <c r="Q22" s="220"/>
      <c r="R22" s="220"/>
      <c r="S22" s="231"/>
      <c r="T22" s="220"/>
      <c r="V22" s="220"/>
      <c r="W22" s="221"/>
    </row>
    <row r="23" spans="2:23" s="203" customFormat="1" ht="16.899999999999999" customHeight="1" x14ac:dyDescent="0.25">
      <c r="B23" s="27" t="s">
        <v>728</v>
      </c>
      <c r="C23" s="787" t="s">
        <v>729</v>
      </c>
      <c r="D23" s="933"/>
      <c r="E23" s="933"/>
      <c r="F23" s="788"/>
      <c r="G23" s="162">
        <f>'calcul heures'!G15</f>
        <v>0</v>
      </c>
      <c r="H23" s="243">
        <f>IF(G23=0,0,(SUMIF(Enseignement!$J$9:$J$132,Paramétrage!$D$9,Enseignement!X$9:X$132)*$H$15+SUMIF(Enseignement!$J$9:$J$132,Paramétrage!$D$9,Enseignement!Y$9:Y$132)*$H$16+SUMIF(Enseignement!$J$9:$J$132,Paramétrage!$D$9,Enseignement!Z$9:Z$132)*$H$17+SUMIF(Enseignement!$J$9:$J$132,Paramétrage!$D$9,Enseignement!AA$9:AA$132)*$H$18)/G23)</f>
        <v>0</v>
      </c>
      <c r="I23" s="224">
        <f>H23*G23</f>
        <v>0</v>
      </c>
      <c r="J23" s="229">
        <f>'calcul heures'!H15*H23</f>
        <v>0</v>
      </c>
      <c r="K23" s="225">
        <f>'calcul heures'!I15*H23</f>
        <v>0</v>
      </c>
      <c r="L23" s="226"/>
      <c r="M23" s="15"/>
      <c r="N23" s="15"/>
      <c r="O23" s="15"/>
      <c r="P23" s="230">
        <f>SUM(L23:O23)</f>
        <v>0</v>
      </c>
      <c r="Q23" s="220"/>
      <c r="R23" s="220"/>
      <c r="S23" s="231"/>
      <c r="T23" s="220"/>
      <c r="V23" s="220"/>
      <c r="W23" s="221"/>
    </row>
    <row r="24" spans="2:23" s="203" customFormat="1" ht="16.899999999999999" customHeight="1" x14ac:dyDescent="0.25">
      <c r="B24" s="27" t="s">
        <v>730</v>
      </c>
      <c r="C24" s="787" t="s">
        <v>731</v>
      </c>
      <c r="D24" s="933"/>
      <c r="E24" s="933"/>
      <c r="F24" s="788"/>
      <c r="G24" s="162">
        <f>'calcul heures'!G16</f>
        <v>0</v>
      </c>
      <c r="H24" s="243">
        <f>IF(G24=0,0,(SUMIF(Enseignement!$J$9:$J$132,Paramétrage!$D$12,Enseignement!X$9:X$132)*$H$15+SUMIF(Enseignement!$J$9:$J$132,Paramétrage!$D$12,Enseignement!Y$9:Y$132)*$H$16+SUMIF(Enseignement!$J$9:$J$132,Paramétrage!$D$12,Enseignement!Z$9:Z$132)*$H$17+SUMIF(Enseignement!$J$9:$J$132,Paramétrage!$D$12,Enseignement!AA$9:AA$132)*$H$18)/G24)</f>
        <v>0</v>
      </c>
      <c r="I24" s="224">
        <f>H24*G24</f>
        <v>0</v>
      </c>
      <c r="J24" s="229">
        <f>'calcul heures'!H16*H24</f>
        <v>0</v>
      </c>
      <c r="K24" s="225">
        <f>'calcul heures'!I16*H24</f>
        <v>0</v>
      </c>
      <c r="L24" s="226"/>
      <c r="M24" s="233"/>
      <c r="N24" s="233"/>
      <c r="O24" s="15"/>
      <c r="P24" s="230">
        <f>SUM(L24:O24)</f>
        <v>0</v>
      </c>
      <c r="Q24" s="220"/>
      <c r="R24" s="220"/>
      <c r="S24" s="231"/>
      <c r="T24" s="220"/>
      <c r="V24" s="220"/>
      <c r="W24" s="221"/>
    </row>
    <row r="25" spans="2:23" s="203" customFormat="1" ht="16.899999999999999" customHeight="1" x14ac:dyDescent="0.25">
      <c r="B25" s="27" t="s">
        <v>732</v>
      </c>
      <c r="C25" s="787" t="s">
        <v>803</v>
      </c>
      <c r="D25" s="933"/>
      <c r="E25" s="933"/>
      <c r="F25" s="788"/>
      <c r="G25" s="162">
        <f>'calcul heures'!G17</f>
        <v>0</v>
      </c>
      <c r="H25" s="243">
        <f>IF(G25=0,0,(SUMIF(Enseignement!$J$9:$J$132,Paramétrage!$D$22,Enseignement!X$9:X$132)*$H$15+SUMIF(Enseignement!$J$9:$J$132,Paramétrage!$D$22,Enseignement!Y$9:Y$132)*$H$16+SUMIF(Enseignement!$J$9:$J$132,Paramétrage!$D$22,Enseignement!Z$9:Z$132)*$H$17+SUMIF(Enseignement!$J$9:$J$132,Paramétrage!$D$22,Enseignement!AA$9:AA$132)*$H$18)/G25)+IF(G25=0,0,(SUMIF(Enseignement!$J$9:$J$132,Paramétrage!$D$25,Enseignement!X$9:X$132)*$H$15+SUMIF(Enseignement!$J$9:$J$132,Paramétrage!$D$25,Enseignement!Y$9:Y$132)*$H$16+SUMIF(Enseignement!$J$9:$J$132,Paramétrage!$D$25,Enseignement!Z$9:Z$132)*$H$17+SUMIF(Enseignement!$J$9:$J$132,Paramétrage!$D$25,Enseignement!AA$9:AA$132)*$H$18)/G25)</f>
        <v>0</v>
      </c>
      <c r="I25" s="224">
        <f>H25*G25</f>
        <v>0</v>
      </c>
      <c r="J25" s="229">
        <f>'calcul heures'!H17*H25</f>
        <v>0</v>
      </c>
      <c r="K25" s="225">
        <f>'calcul heures'!I17*H25</f>
        <v>0</v>
      </c>
      <c r="L25" s="15"/>
      <c r="M25" s="15"/>
      <c r="N25" s="15"/>
      <c r="O25" s="15"/>
      <c r="P25" s="230">
        <f>SUM(L25:O25)</f>
        <v>0</v>
      </c>
      <c r="Q25" s="232">
        <f>IF($I25=0,0,$G25*$J25/$I25)</f>
        <v>0</v>
      </c>
      <c r="R25" s="232">
        <f>SUMIF(Enseignement!$J$9:$J$132,Paramétrage!D21,Enseignement!Z$9:Z$132)</f>
        <v>0</v>
      </c>
      <c r="S25" s="231">
        <f>R25*H25</f>
        <v>0</v>
      </c>
      <c r="T25" s="220"/>
      <c r="V25" s="220"/>
      <c r="W25" s="221"/>
    </row>
    <row r="26" spans="2:23" s="203" customFormat="1" ht="21.4" customHeight="1" thickBot="1" x14ac:dyDescent="0.3">
      <c r="B26" s="937" t="s">
        <v>734</v>
      </c>
      <c r="C26" s="938"/>
      <c r="D26" s="938"/>
      <c r="E26" s="938"/>
      <c r="F26" s="939"/>
      <c r="G26" s="235">
        <f>SUM(G21:G25)</f>
        <v>0</v>
      </c>
      <c r="H26" s="236">
        <f>IF(G26=0,0,I26/G26)</f>
        <v>0</v>
      </c>
      <c r="I26" s="236">
        <f>SUM(I21:I25)</f>
        <v>0</v>
      </c>
      <c r="J26" s="236">
        <f t="shared" ref="J26:O26" si="2">SUM(J21:J25)</f>
        <v>0</v>
      </c>
      <c r="K26" s="239">
        <f t="shared" si="2"/>
        <v>0</v>
      </c>
      <c r="L26" s="244">
        <f t="shared" si="2"/>
        <v>0</v>
      </c>
      <c r="M26" s="245">
        <f t="shared" si="2"/>
        <v>0</v>
      </c>
      <c r="N26" s="246">
        <f t="shared" si="2"/>
        <v>0</v>
      </c>
      <c r="O26" s="237">
        <f t="shared" si="2"/>
        <v>0</v>
      </c>
      <c r="P26" s="239">
        <f>SUM(P21:P24)</f>
        <v>0</v>
      </c>
      <c r="Q26" s="213">
        <f>IF($K$79=0,0,K26/$K$79)</f>
        <v>0</v>
      </c>
      <c r="R26" s="214" t="s">
        <v>797</v>
      </c>
      <c r="S26" s="185"/>
      <c r="T26" s="147"/>
    </row>
    <row r="27" spans="2:23" s="203" customFormat="1" ht="16.899999999999999" customHeight="1" x14ac:dyDescent="0.25">
      <c r="B27" s="23" t="s">
        <v>735</v>
      </c>
      <c r="C27" s="215" t="s">
        <v>736</v>
      </c>
      <c r="D27" s="216"/>
      <c r="E27" s="216"/>
      <c r="F27" s="217"/>
      <c r="G27" s="218"/>
      <c r="H27" s="24"/>
      <c r="I27" s="218"/>
      <c r="J27" s="218"/>
      <c r="K27" s="25"/>
      <c r="L27" s="28"/>
      <c r="M27" s="29"/>
      <c r="N27" s="29"/>
      <c r="O27" s="29"/>
      <c r="P27" s="30"/>
      <c r="Q27" s="247"/>
      <c r="R27" s="234">
        <f>IF($I27=0,0,IF($P27=0,0,$G27*$J27/$I27*L27/$P27))</f>
        <v>0</v>
      </c>
      <c r="S27" s="234">
        <f>IF($I27=0,0,IF($P27=0,0,$G27*$J27/$I27*M27/$P27))</f>
        <v>0</v>
      </c>
      <c r="T27" s="234">
        <f>IF($I27=0,0,IF($P27=0,0,$G27*$J27/$I27*N27/$P27))</f>
        <v>0</v>
      </c>
      <c r="U27" s="248">
        <f>IF($I27=0,0,IF($P27=0,0,$G27*$J27/$I27*O27/$P27))</f>
        <v>0</v>
      </c>
      <c r="V27" s="249"/>
    </row>
    <row r="28" spans="2:23" s="203" customFormat="1" ht="16.899999999999999" customHeight="1" x14ac:dyDescent="0.25">
      <c r="B28" s="27" t="s">
        <v>737</v>
      </c>
      <c r="C28" s="787" t="s">
        <v>122</v>
      </c>
      <c r="D28" s="933"/>
      <c r="E28" s="933"/>
      <c r="F28" s="788"/>
      <c r="G28" s="393">
        <f>Formulaire!B36</f>
        <v>15</v>
      </c>
      <c r="H28" s="243">
        <f>$H$15</f>
        <v>247</v>
      </c>
      <c r="I28" s="251">
        <f>H28*G28</f>
        <v>3705</v>
      </c>
      <c r="J28" s="224">
        <f>I28-K28</f>
        <v>0</v>
      </c>
      <c r="K28" s="225">
        <f>IF($E$7=0,0,I28/$E$7*$E$8)</f>
        <v>3705</v>
      </c>
      <c r="L28" s="252"/>
      <c r="M28" s="15"/>
      <c r="N28" s="15"/>
      <c r="O28" s="15"/>
      <c r="P28" s="230">
        <f>SUM(L28:O28)</f>
        <v>0</v>
      </c>
      <c r="Q28" s="220"/>
      <c r="R28" s="220"/>
      <c r="S28" s="220"/>
      <c r="T28" s="220"/>
      <c r="U28" s="220"/>
      <c r="V28" s="232"/>
      <c r="W28" s="253"/>
    </row>
    <row r="29" spans="2:23" s="203" customFormat="1" ht="16.899999999999999" customHeight="1" x14ac:dyDescent="0.25">
      <c r="B29" s="27" t="s">
        <v>738</v>
      </c>
      <c r="C29" s="787" t="s">
        <v>739</v>
      </c>
      <c r="D29" s="933"/>
      <c r="E29" s="933"/>
      <c r="F29" s="788"/>
      <c r="G29" s="393">
        <f>Formulaire!B37</f>
        <v>26</v>
      </c>
      <c r="H29" s="243">
        <f>$H$19</f>
        <v>97.177419354838705</v>
      </c>
      <c r="I29" s="251">
        <f>H29*G29</f>
        <v>2526.6129032258063</v>
      </c>
      <c r="J29" s="224">
        <f>I29-K29</f>
        <v>0</v>
      </c>
      <c r="K29" s="225">
        <f>I29</f>
        <v>2526.6129032258063</v>
      </c>
      <c r="L29" s="252"/>
      <c r="M29" s="226"/>
      <c r="N29" s="15"/>
      <c r="O29" s="15"/>
      <c r="P29" s="230">
        <f>SUM(L29:O29)</f>
        <v>0</v>
      </c>
      <c r="Q29" s="220"/>
      <c r="R29" s="220"/>
      <c r="S29" s="220"/>
      <c r="T29" s="220"/>
      <c r="U29" s="220"/>
      <c r="V29" s="232"/>
      <c r="W29" s="253"/>
    </row>
    <row r="30" spans="2:23" s="203" customFormat="1" ht="16.899999999999999" hidden="1" customHeight="1" x14ac:dyDescent="0.25">
      <c r="B30" s="27" t="s">
        <v>740</v>
      </c>
      <c r="C30" s="787" t="s">
        <v>124</v>
      </c>
      <c r="D30" s="933"/>
      <c r="E30" s="933"/>
      <c r="F30" s="788"/>
      <c r="G30" s="250">
        <f>Formulaire!B38</f>
        <v>0</v>
      </c>
      <c r="H30" s="243">
        <f>$H$18</f>
        <v>46</v>
      </c>
      <c r="I30" s="254">
        <f>H30*G30</f>
        <v>0</v>
      </c>
      <c r="J30" s="224">
        <f>I30-K30</f>
        <v>0</v>
      </c>
      <c r="K30" s="225">
        <f>IF($E$7=0,0,I30/$E$7*$E$8)</f>
        <v>0</v>
      </c>
      <c r="L30" s="255"/>
      <c r="M30" s="15"/>
      <c r="N30" s="15"/>
      <c r="O30" s="15"/>
      <c r="P30" s="230">
        <f>SUM(L30:O30)</f>
        <v>0</v>
      </c>
      <c r="Q30" s="220"/>
      <c r="R30" s="220"/>
      <c r="S30" s="220"/>
      <c r="T30" s="220"/>
      <c r="U30" s="220"/>
      <c r="V30" s="232"/>
      <c r="W30" s="253"/>
    </row>
    <row r="31" spans="2:23" s="203" customFormat="1" ht="21" customHeight="1" thickBot="1" x14ac:dyDescent="0.3">
      <c r="B31" s="937" t="s">
        <v>741</v>
      </c>
      <c r="C31" s="938"/>
      <c r="D31" s="938"/>
      <c r="E31" s="938"/>
      <c r="F31" s="939"/>
      <c r="G31" s="235">
        <f>SUM(G28:G30)</f>
        <v>41</v>
      </c>
      <c r="H31" s="236">
        <f>IF(G31=0,0,I31/G31)</f>
        <v>151.99055861526358</v>
      </c>
      <c r="I31" s="236">
        <f>SUM(I28:I30)</f>
        <v>6231.6129032258068</v>
      </c>
      <c r="J31" s="236">
        <f t="shared" ref="J31:O31" si="3">SUM(J28:J30)</f>
        <v>0</v>
      </c>
      <c r="K31" s="256">
        <f t="shared" si="3"/>
        <v>6231.6129032258068</v>
      </c>
      <c r="L31" s="240">
        <f t="shared" si="3"/>
        <v>0</v>
      </c>
      <c r="M31" s="237">
        <f t="shared" si="3"/>
        <v>0</v>
      </c>
      <c r="N31" s="237">
        <f t="shared" si="3"/>
        <v>0</v>
      </c>
      <c r="O31" s="237">
        <f t="shared" si="3"/>
        <v>0</v>
      </c>
      <c r="P31" s="239">
        <f>SUM(P27:P30)</f>
        <v>0</v>
      </c>
      <c r="Q31" s="213">
        <f>IF($K$79=0,0,K31/$K$79)</f>
        <v>0.12453263195894898</v>
      </c>
      <c r="R31" s="214" t="s">
        <v>797</v>
      </c>
      <c r="S31" s="185"/>
      <c r="T31" s="147"/>
      <c r="U31" s="257"/>
    </row>
    <row r="32" spans="2:23" s="203" customFormat="1" ht="21" customHeight="1" thickBot="1" x14ac:dyDescent="0.3">
      <c r="B32" s="258"/>
      <c r="C32" s="259"/>
      <c r="D32" s="260"/>
      <c r="E32" s="261"/>
      <c r="F32" s="261"/>
      <c r="G32" s="261"/>
      <c r="H32" s="262" t="s">
        <v>804</v>
      </c>
      <c r="I32" s="263">
        <f>IF($E$7=0,0,(I31+I19+I26)/$E$7)</f>
        <v>914.08064516129036</v>
      </c>
      <c r="J32" s="264">
        <f>IF($E$7-$E$8=0,0,(J31+J19+J26)/($E$7-$E$8))</f>
        <v>0</v>
      </c>
      <c r="K32" s="265">
        <f>IF($E$8=0,0,(K31+K19+K26)/$E$8)</f>
        <v>914.08064516129036</v>
      </c>
      <c r="L32" s="266"/>
      <c r="M32" s="266"/>
      <c r="N32" s="266"/>
      <c r="O32" s="266"/>
      <c r="P32" s="266"/>
      <c r="Q32" s="267"/>
      <c r="R32" s="267"/>
      <c r="S32" s="268"/>
      <c r="T32" s="269"/>
      <c r="U32" s="147"/>
      <c r="V32" s="270"/>
    </row>
    <row r="33" spans="2:22" s="203" customFormat="1" ht="21" customHeight="1" thickBot="1" x14ac:dyDescent="0.3">
      <c r="B33" s="204" t="s">
        <v>126</v>
      </c>
      <c r="C33" s="205"/>
      <c r="D33" s="206"/>
      <c r="E33" s="206"/>
      <c r="F33" s="206"/>
      <c r="G33" s="271"/>
      <c r="H33" s="272"/>
      <c r="I33" s="209">
        <f>SUM(I35:I39)</f>
        <v>4421</v>
      </c>
      <c r="J33" s="210">
        <f>SUM(J35:J39)</f>
        <v>0</v>
      </c>
      <c r="K33" s="211">
        <f>SUM(K35:K39)</f>
        <v>4421</v>
      </c>
      <c r="L33" s="212">
        <f>L43+L55+L51</f>
        <v>0</v>
      </c>
      <c r="M33" s="208">
        <f>M43+M55+M51</f>
        <v>0</v>
      </c>
      <c r="N33" s="209">
        <f>N43+N55+N51</f>
        <v>0</v>
      </c>
      <c r="O33" s="208">
        <f>O43+O55+O51</f>
        <v>0</v>
      </c>
      <c r="P33" s="211">
        <f>P43+P55+P51</f>
        <v>0</v>
      </c>
      <c r="Q33" s="213">
        <f>IF($K$79=0,0,K33/$K$79)</f>
        <v>8.8349320543565146E-2</v>
      </c>
      <c r="R33" s="214" t="s">
        <v>797</v>
      </c>
      <c r="S33" s="268"/>
      <c r="T33" s="269"/>
      <c r="U33" s="147"/>
      <c r="V33" s="270"/>
    </row>
    <row r="34" spans="2:22" s="203" customFormat="1" ht="17.149999999999999" customHeight="1" x14ac:dyDescent="0.25">
      <c r="B34" s="23" t="s">
        <v>805</v>
      </c>
      <c r="C34" s="215"/>
      <c r="D34" s="216"/>
      <c r="E34" s="216"/>
      <c r="F34" s="217"/>
      <c r="G34" s="273" t="s">
        <v>806</v>
      </c>
      <c r="H34" s="179" t="s">
        <v>807</v>
      </c>
      <c r="I34" s="218"/>
      <c r="J34" s="218"/>
      <c r="K34" s="25"/>
      <c r="L34" s="275"/>
      <c r="M34" s="275"/>
      <c r="N34" s="275"/>
      <c r="O34" s="275"/>
      <c r="P34" s="276"/>
      <c r="Q34" s="220"/>
      <c r="R34" s="220"/>
      <c r="S34" s="268"/>
      <c r="T34" s="269"/>
      <c r="U34" s="147"/>
      <c r="V34" s="270"/>
    </row>
    <row r="35" spans="2:22" s="203" customFormat="1" ht="17.149999999999999" customHeight="1" x14ac:dyDescent="0.25">
      <c r="B35" s="27" t="s">
        <v>808</v>
      </c>
      <c r="C35" s="787" t="str">
        <f>Formulaire!A43</f>
        <v>BIATSS catégorie A</v>
      </c>
      <c r="D35" s="933"/>
      <c r="E35" s="933"/>
      <c r="F35" s="788"/>
      <c r="G35" s="392">
        <f>IFERROR(IF(Formulaire!D43="",Formulaire!$E$10/Formulaire!F43,Formulaire!D43),"")</f>
        <v>0.01</v>
      </c>
      <c r="H35" s="274">
        <f>Formulaire!B43</f>
        <v>68000</v>
      </c>
      <c r="I35" s="274">
        <f>IFERROR(H35*G35,"")</f>
        <v>680</v>
      </c>
      <c r="J35" s="224">
        <f>IFERROR(I35-K35,"")</f>
        <v>0</v>
      </c>
      <c r="K35" s="230">
        <f>IFERROR(IF($E$7=0,0,I35/$E$7*$E$8),"")</f>
        <v>680</v>
      </c>
      <c r="L35" s="275"/>
      <c r="M35" s="275"/>
      <c r="N35" s="275"/>
      <c r="O35" s="275"/>
      <c r="P35" s="276"/>
      <c r="Q35" s="220"/>
      <c r="R35" s="220"/>
      <c r="S35" s="268"/>
      <c r="T35" s="269"/>
      <c r="U35" s="147"/>
      <c r="V35" s="270"/>
    </row>
    <row r="36" spans="2:22" s="203" customFormat="1" ht="17.149999999999999" customHeight="1" x14ac:dyDescent="0.25">
      <c r="B36" s="27" t="s">
        <v>809</v>
      </c>
      <c r="C36" s="787" t="str">
        <f>Formulaire!A44</f>
        <v>BIATSS catégorie C</v>
      </c>
      <c r="D36" s="933"/>
      <c r="E36" s="933"/>
      <c r="F36" s="788"/>
      <c r="G36" s="392">
        <f>IFERROR(IF(Formulaire!D44="",Formulaire!$E$10/Formulaire!F44,Formulaire!D44),"")</f>
        <v>8.5999999999999993E-2</v>
      </c>
      <c r="H36" s="274">
        <f>Formulaire!B44</f>
        <v>43500</v>
      </c>
      <c r="I36" s="274">
        <f>IFERROR(H36*G36,"")</f>
        <v>3740.9999999999995</v>
      </c>
      <c r="J36" s="224">
        <f>IFERROR(I36-K36,"")</f>
        <v>0</v>
      </c>
      <c r="K36" s="230">
        <f>IFERROR(IF($E$7=0,0,I36/$E$7*$E$8),"")</f>
        <v>3740.9999999999995</v>
      </c>
      <c r="L36" s="275"/>
      <c r="M36" s="275"/>
      <c r="N36" s="275"/>
      <c r="O36" s="275"/>
      <c r="P36" s="276"/>
      <c r="Q36" s="220"/>
      <c r="R36" s="400"/>
      <c r="S36" s="268"/>
      <c r="T36" s="269"/>
      <c r="U36" s="147"/>
      <c r="V36" s="270"/>
    </row>
    <row r="37" spans="2:22" s="203" customFormat="1" ht="17.149999999999999" customHeight="1" x14ac:dyDescent="0.25">
      <c r="B37" s="27" t="s">
        <v>810</v>
      </c>
      <c r="C37" s="787">
        <f>Formulaire!A45</f>
        <v>0</v>
      </c>
      <c r="D37" s="933"/>
      <c r="E37" s="933"/>
      <c r="F37" s="788"/>
      <c r="G37" s="392" t="str">
        <f>IFERROR(IF(Formulaire!D45="",Formulaire!$E$10/Formulaire!F45,Formulaire!D45),"")</f>
        <v/>
      </c>
      <c r="H37" s="274">
        <f>Formulaire!B45</f>
        <v>0</v>
      </c>
      <c r="I37" s="274" t="str">
        <f>IFERROR(H37*G37,"")</f>
        <v/>
      </c>
      <c r="J37" s="224" t="str">
        <f>IFERROR(I37-K37,"")</f>
        <v/>
      </c>
      <c r="K37" s="230" t="str">
        <f>IFERROR(IF($E$7=0,0,I37/$E$7*$E$8),"")</f>
        <v/>
      </c>
      <c r="L37" s="275"/>
      <c r="M37" s="275"/>
      <c r="N37" s="275"/>
      <c r="O37" s="275"/>
      <c r="P37" s="276"/>
      <c r="Q37" s="220"/>
      <c r="R37" s="220"/>
      <c r="S37" s="268"/>
      <c r="T37" s="269"/>
      <c r="U37" s="147"/>
      <c r="V37" s="270"/>
    </row>
    <row r="38" spans="2:22" s="203" customFormat="1" ht="17.149999999999999" customHeight="1" x14ac:dyDescent="0.25">
      <c r="B38" s="27" t="s">
        <v>811</v>
      </c>
      <c r="C38" s="787">
        <f>Formulaire!A46</f>
        <v>0</v>
      </c>
      <c r="D38" s="933"/>
      <c r="E38" s="933"/>
      <c r="F38" s="788"/>
      <c r="G38" s="392" t="str">
        <f>IFERROR(IF(Formulaire!D46="",Formulaire!$E$10/Formulaire!F46,Formulaire!D46),"")</f>
        <v/>
      </c>
      <c r="H38" s="274">
        <f>Formulaire!B46</f>
        <v>0</v>
      </c>
      <c r="I38" s="274" t="str">
        <f>IFERROR(H38*G38,"")</f>
        <v/>
      </c>
      <c r="J38" s="224" t="str">
        <f>IFERROR(I38-K38,"")</f>
        <v/>
      </c>
      <c r="K38" s="230" t="str">
        <f>IFERROR(IF($E$7=0,0,I38/$E$7*$E$8),"")</f>
        <v/>
      </c>
      <c r="L38" s="275"/>
      <c r="M38" s="275"/>
      <c r="N38" s="275"/>
      <c r="O38" s="275"/>
      <c r="P38" s="276"/>
      <c r="Q38" s="220"/>
      <c r="R38" s="220"/>
      <c r="S38" s="268"/>
      <c r="T38" s="269"/>
      <c r="U38" s="147"/>
      <c r="V38" s="270"/>
    </row>
    <row r="39" spans="2:22" s="203" customFormat="1" ht="17.149999999999999" customHeight="1" x14ac:dyDescent="0.25">
      <c r="B39" s="27" t="s">
        <v>812</v>
      </c>
      <c r="C39" s="787">
        <f>Formulaire!A47</f>
        <v>0</v>
      </c>
      <c r="D39" s="933"/>
      <c r="E39" s="933"/>
      <c r="F39" s="788"/>
      <c r="G39" s="392" t="str">
        <f>IFERROR(IF(Formulaire!D47="",Formulaire!$E$10/Formulaire!F47,Formulaire!D47),"")</f>
        <v/>
      </c>
      <c r="H39" s="274">
        <f>Formulaire!B47</f>
        <v>0</v>
      </c>
      <c r="I39" s="274" t="str">
        <f>IFERROR(H39*G39,"")</f>
        <v/>
      </c>
      <c r="J39" s="224" t="str">
        <f>IFERROR(I39-K39,"")</f>
        <v/>
      </c>
      <c r="K39" s="230" t="str">
        <f>IFERROR(IF($E$7=0,0,I39/$E$7*$E$8),"")</f>
        <v/>
      </c>
      <c r="L39" s="275"/>
      <c r="M39" s="275"/>
      <c r="N39" s="275"/>
      <c r="O39" s="275"/>
      <c r="P39" s="276"/>
      <c r="Q39" s="220"/>
      <c r="R39" s="220"/>
      <c r="S39" s="268"/>
      <c r="T39" s="269"/>
      <c r="U39" s="147"/>
      <c r="V39" s="270"/>
    </row>
    <row r="40" spans="2:22" s="203" customFormat="1" ht="17.149999999999999" customHeight="1" thickBot="1" x14ac:dyDescent="0.3">
      <c r="B40" s="258"/>
      <c r="C40" s="259"/>
      <c r="D40" s="260"/>
      <c r="E40" s="261"/>
      <c r="F40" s="261"/>
      <c r="G40" s="261"/>
      <c r="H40" s="262" t="s">
        <v>813</v>
      </c>
      <c r="I40" s="263">
        <f>IF($E$7=0,0,I33/$E$7)</f>
        <v>221.05</v>
      </c>
      <c r="J40" s="264">
        <f>IF($E$7-$E$8=0,0,J33/($E$7-$E$8))</f>
        <v>0</v>
      </c>
      <c r="K40" s="265">
        <f>IF($E$8=0,0,K33/$E$8)</f>
        <v>221.05</v>
      </c>
      <c r="L40" s="266"/>
      <c r="M40" s="266"/>
      <c r="N40" s="266"/>
      <c r="O40" s="266"/>
      <c r="P40" s="266"/>
      <c r="Q40" s="267"/>
      <c r="R40" s="267"/>
      <c r="S40" s="268"/>
      <c r="T40" s="269"/>
      <c r="U40" s="147"/>
      <c r="V40" s="270"/>
    </row>
    <row r="41" spans="2:22" s="185" customFormat="1" ht="17.149999999999999" customHeight="1" thickBot="1" x14ac:dyDescent="0.3">
      <c r="B41" s="258"/>
      <c r="C41" s="259"/>
      <c r="D41" s="260"/>
      <c r="E41" s="261"/>
      <c r="F41" s="261"/>
      <c r="G41" s="261"/>
      <c r="H41" s="262" t="s">
        <v>814</v>
      </c>
      <c r="I41" s="263">
        <f>IF($E$7=0,0,(I33+I13)/$E$7)</f>
        <v>1135.1306451612904</v>
      </c>
      <c r="J41" s="264">
        <f>IF($E$7=$E$8,0,(J33+J13)/($E$7-$E$8))</f>
        <v>0</v>
      </c>
      <c r="K41" s="265">
        <f>IF(E8=0,0,(K33+K13)/$E$8)</f>
        <v>1135.1306451612904</v>
      </c>
      <c r="L41" s="266"/>
      <c r="M41" s="266"/>
      <c r="N41" s="266"/>
      <c r="O41" s="266"/>
      <c r="P41" s="266"/>
      <c r="Q41" s="267"/>
      <c r="R41" s="267"/>
      <c r="S41" s="268"/>
      <c r="T41" s="269"/>
      <c r="U41" s="203"/>
      <c r="V41" s="203"/>
    </row>
    <row r="42" spans="2:22" s="203" customFormat="1" ht="16.899999999999999" customHeight="1" thickBot="1" x14ac:dyDescent="0.3">
      <c r="B42" s="277" t="s">
        <v>815</v>
      </c>
      <c r="C42" s="278"/>
      <c r="D42" s="279"/>
      <c r="E42" s="279"/>
      <c r="F42" s="279"/>
      <c r="G42" s="279"/>
      <c r="H42" s="280"/>
      <c r="I42" s="281">
        <f>SUM(I43:I51)</f>
        <v>250</v>
      </c>
      <c r="J42" s="282">
        <f t="shared" ref="J42:P42" si="4">SUM(J43:J51)</f>
        <v>0</v>
      </c>
      <c r="K42" s="283">
        <f t="shared" si="4"/>
        <v>250</v>
      </c>
      <c r="L42" s="212">
        <f t="shared" si="4"/>
        <v>0</v>
      </c>
      <c r="M42" s="208">
        <f t="shared" si="4"/>
        <v>0</v>
      </c>
      <c r="N42" s="209">
        <f t="shared" si="4"/>
        <v>0</v>
      </c>
      <c r="O42" s="208">
        <f t="shared" si="4"/>
        <v>0</v>
      </c>
      <c r="P42" s="284">
        <f t="shared" si="4"/>
        <v>0</v>
      </c>
      <c r="Q42" s="213">
        <f>IF($K$79=0,0,K42/$K$79)</f>
        <v>4.9960031974420459E-3</v>
      </c>
      <c r="R42" s="214" t="s">
        <v>797</v>
      </c>
      <c r="S42" s="185"/>
      <c r="T42" s="185"/>
    </row>
    <row r="43" spans="2:22" s="203" customFormat="1" ht="16.899999999999999" customHeight="1" x14ac:dyDescent="0.25">
      <c r="B43" s="285" t="s">
        <v>816</v>
      </c>
      <c r="C43" s="286" t="s">
        <v>136</v>
      </c>
      <c r="D43" s="287"/>
      <c r="E43" s="287"/>
      <c r="F43" s="287"/>
      <c r="G43" s="287"/>
      <c r="H43" s="287"/>
      <c r="I43" s="288">
        <f>Formulaire!C53</f>
        <v>200</v>
      </c>
      <c r="J43" s="289">
        <f t="shared" ref="J43:J51" si="5">I43-K43</f>
        <v>0</v>
      </c>
      <c r="K43" s="31">
        <f>IF($E$7=0,0,I43/$E$7*$E$8)</f>
        <v>200</v>
      </c>
      <c r="L43" s="290"/>
      <c r="M43" s="291"/>
      <c r="N43" s="292"/>
      <c r="O43" s="291"/>
      <c r="P43" s="293">
        <f t="shared" ref="P43:P51" si="6">SUM(L43:O43)</f>
        <v>0</v>
      </c>
      <c r="Q43" s="294"/>
      <c r="R43" s="295"/>
      <c r="S43" s="185"/>
    </row>
    <row r="44" spans="2:22" s="203" customFormat="1" ht="16.899999999999999" customHeight="1" x14ac:dyDescent="0.25">
      <c r="B44" s="296" t="s">
        <v>817</v>
      </c>
      <c r="C44" s="297" t="s">
        <v>137</v>
      </c>
      <c r="D44" s="298"/>
      <c r="E44" s="298"/>
      <c r="F44" s="298"/>
      <c r="G44" s="298"/>
      <c r="H44" s="298"/>
      <c r="I44" s="299">
        <f>Formulaire!C54</f>
        <v>0</v>
      </c>
      <c r="J44" s="243">
        <f t="shared" si="5"/>
        <v>0</v>
      </c>
      <c r="K44" s="32">
        <f>IF($E$7=0,0,I44/$E$7*$E$8)</f>
        <v>0</v>
      </c>
      <c r="L44" s="252"/>
      <c r="M44" s="226"/>
      <c r="N44" s="300"/>
      <c r="O44" s="226"/>
      <c r="P44" s="230">
        <f t="shared" si="6"/>
        <v>0</v>
      </c>
      <c r="Q44" s="294"/>
      <c r="R44" s="295"/>
      <c r="S44" s="185"/>
    </row>
    <row r="45" spans="2:22" s="203" customFormat="1" ht="16.899999999999999" customHeight="1" x14ac:dyDescent="0.25">
      <c r="B45" s="296" t="s">
        <v>818</v>
      </c>
      <c r="C45" s="297" t="s">
        <v>138</v>
      </c>
      <c r="D45" s="298"/>
      <c r="E45" s="298"/>
      <c r="F45" s="298"/>
      <c r="G45" s="298"/>
      <c r="H45" s="298"/>
      <c r="I45" s="299">
        <f>Formulaire!C55</f>
        <v>0</v>
      </c>
      <c r="J45" s="243">
        <f t="shared" si="5"/>
        <v>0</v>
      </c>
      <c r="K45" s="32">
        <f>IF($E$7=0,0,I45/$E$7*$E$8)</f>
        <v>0</v>
      </c>
      <c r="L45" s="252"/>
      <c r="M45" s="226"/>
      <c r="N45" s="300"/>
      <c r="O45" s="226"/>
      <c r="P45" s="230">
        <f t="shared" si="6"/>
        <v>0</v>
      </c>
      <c r="Q45" s="294"/>
      <c r="R45" s="295"/>
      <c r="S45" s="185"/>
    </row>
    <row r="46" spans="2:22" s="203" customFormat="1" ht="16.899999999999999" customHeight="1" x14ac:dyDescent="0.25">
      <c r="B46" s="296" t="s">
        <v>819</v>
      </c>
      <c r="C46" s="297" t="s">
        <v>139</v>
      </c>
      <c r="D46" s="298"/>
      <c r="E46" s="298"/>
      <c r="F46" s="298"/>
      <c r="G46" s="298"/>
      <c r="H46" s="298"/>
      <c r="I46" s="299">
        <f>Formulaire!C56</f>
        <v>0</v>
      </c>
      <c r="J46" s="243">
        <f t="shared" si="5"/>
        <v>0</v>
      </c>
      <c r="K46" s="32">
        <f>IF($E$7=0,0,I46/$E$7*$E$8)</f>
        <v>0</v>
      </c>
      <c r="L46" s="252"/>
      <c r="M46" s="226"/>
      <c r="N46" s="300"/>
      <c r="O46" s="226"/>
      <c r="P46" s="230">
        <f t="shared" si="6"/>
        <v>0</v>
      </c>
      <c r="Q46" s="294"/>
      <c r="R46" s="295"/>
      <c r="S46" s="185"/>
    </row>
    <row r="47" spans="2:22" s="203" customFormat="1" ht="16.899999999999999" customHeight="1" x14ac:dyDescent="0.25">
      <c r="B47" s="296" t="s">
        <v>820</v>
      </c>
      <c r="C47" s="297" t="s">
        <v>140</v>
      </c>
      <c r="D47" s="298"/>
      <c r="E47" s="298"/>
      <c r="F47" s="298"/>
      <c r="G47" s="298"/>
      <c r="H47" s="298"/>
      <c r="I47" s="299">
        <f>Formulaire!C57</f>
        <v>0</v>
      </c>
      <c r="J47" s="243">
        <f t="shared" si="5"/>
        <v>0</v>
      </c>
      <c r="K47" s="32">
        <f>IF($E$7=0,0,I47/$E$7*$E$8)</f>
        <v>0</v>
      </c>
      <c r="L47" s="252"/>
      <c r="M47" s="226"/>
      <c r="N47" s="300"/>
      <c r="O47" s="226"/>
      <c r="P47" s="230">
        <f t="shared" si="6"/>
        <v>0</v>
      </c>
      <c r="Q47" s="294"/>
      <c r="R47" s="295"/>
      <c r="S47" s="185"/>
    </row>
    <row r="48" spans="2:22" s="203" customFormat="1" ht="16.899999999999999" customHeight="1" x14ac:dyDescent="0.25">
      <c r="B48" s="296" t="s">
        <v>821</v>
      </c>
      <c r="C48" s="297" t="s">
        <v>141</v>
      </c>
      <c r="D48" s="298"/>
      <c r="E48" s="298"/>
      <c r="F48" s="298"/>
      <c r="G48" s="298"/>
      <c r="H48" s="298"/>
      <c r="I48" s="299">
        <f>Formulaire!C58</f>
        <v>0</v>
      </c>
      <c r="J48" s="243">
        <f>I48-K48</f>
        <v>0</v>
      </c>
      <c r="K48" s="32">
        <v>0</v>
      </c>
      <c r="L48" s="252"/>
      <c r="M48" s="226"/>
      <c r="N48" s="300"/>
      <c r="O48" s="226"/>
      <c r="P48" s="230">
        <f t="shared" si="6"/>
        <v>0</v>
      </c>
      <c r="Q48" s="294"/>
      <c r="R48" s="295"/>
      <c r="S48" s="185"/>
    </row>
    <row r="49" spans="2:22" s="203" customFormat="1" ht="16.899999999999999" customHeight="1" x14ac:dyDescent="0.25">
      <c r="B49" s="296" t="s">
        <v>822</v>
      </c>
      <c r="C49" s="297" t="s">
        <v>142</v>
      </c>
      <c r="D49" s="298"/>
      <c r="E49" s="298"/>
      <c r="F49" s="298"/>
      <c r="G49" s="298"/>
      <c r="H49" s="298"/>
      <c r="I49" s="299">
        <f>Formulaire!C59</f>
        <v>0</v>
      </c>
      <c r="J49" s="243">
        <v>0</v>
      </c>
      <c r="K49" s="32">
        <f>I49-J49</f>
        <v>0</v>
      </c>
      <c r="L49" s="252"/>
      <c r="M49" s="226"/>
      <c r="N49" s="300"/>
      <c r="O49" s="226"/>
      <c r="P49" s="230"/>
      <c r="Q49" s="294"/>
      <c r="R49" s="295"/>
      <c r="S49" s="185"/>
    </row>
    <row r="50" spans="2:22" s="203" customFormat="1" ht="16.899999999999999" customHeight="1" x14ac:dyDescent="0.25">
      <c r="B50" s="296" t="s">
        <v>823</v>
      </c>
      <c r="C50" s="297" t="s">
        <v>143</v>
      </c>
      <c r="D50" s="298"/>
      <c r="E50" s="298"/>
      <c r="F50" s="298"/>
      <c r="G50" s="298"/>
      <c r="H50" s="298"/>
      <c r="I50" s="299">
        <f>Formulaire!C60</f>
        <v>50</v>
      </c>
      <c r="J50" s="243">
        <v>0</v>
      </c>
      <c r="K50" s="32">
        <f>I50-J50</f>
        <v>50</v>
      </c>
      <c r="L50" s="252"/>
      <c r="M50" s="226"/>
      <c r="N50" s="300"/>
      <c r="O50" s="226"/>
      <c r="P50" s="230">
        <f t="shared" si="6"/>
        <v>0</v>
      </c>
      <c r="Q50" s="294"/>
      <c r="R50" s="295"/>
      <c r="S50" s="185"/>
    </row>
    <row r="51" spans="2:22" s="203" customFormat="1" ht="16.899999999999999" customHeight="1" x14ac:dyDescent="0.25">
      <c r="B51" s="296" t="s">
        <v>824</v>
      </c>
      <c r="C51" s="297" t="s">
        <v>144</v>
      </c>
      <c r="D51" s="298"/>
      <c r="E51" s="298"/>
      <c r="F51" s="298"/>
      <c r="G51" s="298"/>
      <c r="H51" s="298"/>
      <c r="I51" s="299">
        <f>Formulaire!C61</f>
        <v>0</v>
      </c>
      <c r="J51" s="274">
        <f t="shared" si="5"/>
        <v>0</v>
      </c>
      <c r="K51" s="32">
        <f>IF($E$7=0,0,I51/$E$7*$E$8)</f>
        <v>0</v>
      </c>
      <c r="L51" s="252"/>
      <c r="M51" s="226"/>
      <c r="N51" s="300"/>
      <c r="O51" s="226"/>
      <c r="P51" s="230">
        <f t="shared" si="6"/>
        <v>0</v>
      </c>
      <c r="Q51" s="294"/>
      <c r="R51" s="295"/>
      <c r="S51" s="185"/>
    </row>
    <row r="52" spans="2:22" s="185" customFormat="1" ht="17.149999999999999" customHeight="1" thickBot="1" x14ac:dyDescent="0.3">
      <c r="B52" s="308"/>
      <c r="C52" s="309"/>
      <c r="D52" s="203"/>
      <c r="E52" s="310"/>
      <c r="F52" s="310"/>
      <c r="G52" s="310"/>
      <c r="H52" s="189" t="s">
        <v>825</v>
      </c>
      <c r="I52" s="264">
        <f>IF(E7=0,0,I42/$E$7)</f>
        <v>12.5</v>
      </c>
      <c r="J52" s="264">
        <f>IF(E7-E8=0,0,J42/($E$7-$E$8))</f>
        <v>0</v>
      </c>
      <c r="K52" s="265">
        <f>IF($E$8=0,0,K42/$E$8)</f>
        <v>12.5</v>
      </c>
      <c r="L52" s="266"/>
      <c r="M52" s="266"/>
      <c r="N52" s="266"/>
      <c r="O52" s="266"/>
      <c r="P52" s="266"/>
      <c r="Q52" s="294"/>
      <c r="R52" s="295"/>
      <c r="T52" s="203"/>
      <c r="U52" s="257"/>
      <c r="V52" s="203"/>
    </row>
    <row r="53" spans="2:22" s="203" customFormat="1" ht="17.149999999999999" customHeight="1" thickBot="1" x14ac:dyDescent="0.3">
      <c r="B53" s="204" t="s">
        <v>826</v>
      </c>
      <c r="C53" s="205"/>
      <c r="D53" s="206"/>
      <c r="E53" s="206"/>
      <c r="F53" s="206"/>
      <c r="G53" s="206"/>
      <c r="H53" s="312"/>
      <c r="I53" s="313">
        <f>I13+I33+I42</f>
        <v>22952.612903225807</v>
      </c>
      <c r="J53" s="313">
        <f>J13+J33+J42</f>
        <v>0</v>
      </c>
      <c r="K53" s="313">
        <f>K13+K33+K42</f>
        <v>22952.612903225807</v>
      </c>
      <c r="L53" s="313">
        <f>L42+L31+L19+L26</f>
        <v>0</v>
      </c>
      <c r="M53" s="313">
        <f>M42+M31+M19+M26</f>
        <v>0</v>
      </c>
      <c r="N53" s="313">
        <f>N42+N31+N19+N26</f>
        <v>0</v>
      </c>
      <c r="O53" s="313">
        <f>O42+O31+O19+O26</f>
        <v>0</v>
      </c>
      <c r="P53" s="314">
        <f>P42+P31+P19+P26</f>
        <v>0</v>
      </c>
      <c r="Q53" s="315">
        <f>IF($K$79=0,0,K53/$K$79)</f>
        <v>0.45868530981666278</v>
      </c>
      <c r="R53" s="214" t="s">
        <v>797</v>
      </c>
      <c r="S53" s="316"/>
      <c r="T53" s="185"/>
      <c r="U53" s="257"/>
    </row>
    <row r="54" spans="2:22" s="203" customFormat="1" ht="17.149999999999999" customHeight="1" thickBot="1" x14ac:dyDescent="0.3">
      <c r="B54" s="317"/>
      <c r="C54" s="318"/>
      <c r="D54" s="318"/>
      <c r="E54" s="319"/>
      <c r="F54" s="319"/>
      <c r="G54" s="319"/>
      <c r="H54" s="320" t="s">
        <v>827</v>
      </c>
      <c r="I54" s="263">
        <f>IF(E7=0,0,I53/E7)</f>
        <v>1147.6306451612904</v>
      </c>
      <c r="J54" s="311">
        <f>IF((E7-E8)=0,0,J53/(E7-E8))</f>
        <v>0</v>
      </c>
      <c r="K54" s="321">
        <f>IF(E8=0,0,K53/E8)</f>
        <v>1147.6306451612904</v>
      </c>
      <c r="L54" s="266"/>
      <c r="M54" s="266"/>
      <c r="N54" s="266"/>
      <c r="O54" s="266"/>
      <c r="P54" s="266"/>
      <c r="Q54" s="33"/>
      <c r="R54" s="295"/>
      <c r="S54" s="185"/>
      <c r="T54" s="147"/>
      <c r="U54" s="12"/>
      <c r="V54" s="12"/>
    </row>
    <row r="55" spans="2:22" s="12" customFormat="1" ht="13.5" thickBot="1" x14ac:dyDescent="0.3">
      <c r="B55" s="308"/>
      <c r="C55" s="203"/>
      <c r="D55" s="203"/>
      <c r="E55" s="310"/>
      <c r="F55" s="310"/>
      <c r="G55" s="310"/>
      <c r="H55" s="189"/>
      <c r="I55" s="263"/>
      <c r="J55" s="263"/>
      <c r="K55" s="322"/>
      <c r="L55" s="266"/>
      <c r="M55" s="266"/>
      <c r="N55" s="266"/>
      <c r="O55" s="266"/>
      <c r="P55" s="266"/>
      <c r="Q55" s="33"/>
      <c r="R55" s="295"/>
      <c r="S55" s="185"/>
      <c r="T55" s="147"/>
      <c r="U55" s="185"/>
      <c r="V55" s="185"/>
    </row>
    <row r="56" spans="2:22" s="185" customFormat="1" ht="40.5" customHeight="1" thickBot="1" x14ac:dyDescent="0.3">
      <c r="B56" s="323" t="s">
        <v>828</v>
      </c>
      <c r="C56" s="324" t="s">
        <v>829</v>
      </c>
      <c r="D56" s="325"/>
      <c r="E56" s="325"/>
      <c r="F56" s="325"/>
      <c r="G56" s="325"/>
      <c r="H56" s="19" t="s">
        <v>830</v>
      </c>
      <c r="I56" s="18" t="s">
        <v>712</v>
      </c>
      <c r="J56" s="19" t="s">
        <v>790</v>
      </c>
      <c r="K56" s="20" t="s">
        <v>791</v>
      </c>
      <c r="L56" s="34" t="str">
        <f>L12</f>
        <v>Lyon 2</v>
      </c>
      <c r="M56" s="19" t="str">
        <f>M12</f>
        <v>Partenaire 1</v>
      </c>
      <c r="N56" s="19" t="str">
        <f>N12</f>
        <v>Partenaire 2</v>
      </c>
      <c r="O56" s="19" t="str">
        <f>O12</f>
        <v>Partenaire 3</v>
      </c>
      <c r="P56" s="21" t="s">
        <v>147</v>
      </c>
      <c r="Q56" s="35"/>
      <c r="R56" s="35"/>
      <c r="S56" s="12"/>
      <c r="T56" s="12"/>
    </row>
    <row r="57" spans="2:22" s="185" customFormat="1" ht="17.149999999999999" customHeight="1" thickBot="1" x14ac:dyDescent="0.3">
      <c r="B57" s="204" t="s">
        <v>831</v>
      </c>
      <c r="C57" s="205"/>
      <c r="D57" s="206"/>
      <c r="E57" s="206"/>
      <c r="F57" s="206"/>
      <c r="G57" s="206"/>
      <c r="H57" s="326"/>
      <c r="I57" s="209">
        <f t="shared" ref="I57:P57" si="7">SUM(I58:I61)</f>
        <v>5371.2</v>
      </c>
      <c r="J57" s="210">
        <f t="shared" si="7"/>
        <v>0</v>
      </c>
      <c r="K57" s="211">
        <f t="shared" si="7"/>
        <v>5371.2</v>
      </c>
      <c r="L57" s="209">
        <f t="shared" si="7"/>
        <v>0</v>
      </c>
      <c r="M57" s="208">
        <f t="shared" si="7"/>
        <v>0</v>
      </c>
      <c r="N57" s="208">
        <f t="shared" si="7"/>
        <v>0</v>
      </c>
      <c r="O57" s="209">
        <f t="shared" si="7"/>
        <v>0</v>
      </c>
      <c r="P57" s="211">
        <f t="shared" si="7"/>
        <v>0</v>
      </c>
      <c r="Q57" s="241"/>
      <c r="R57" s="327"/>
      <c r="U57" s="203"/>
      <c r="V57" s="203"/>
    </row>
    <row r="58" spans="2:22" s="203" customFormat="1" ht="17.149999999999999" customHeight="1" x14ac:dyDescent="0.25">
      <c r="B58" s="328" t="s">
        <v>832</v>
      </c>
      <c r="C58" s="329" t="s">
        <v>391</v>
      </c>
      <c r="D58" s="330"/>
      <c r="E58" s="330"/>
      <c r="F58" s="330"/>
      <c r="G58" s="331"/>
      <c r="H58" s="223">
        <f>IF(D5="Composante",0,IF(OR(H4="Formation_courte",H4="VAE"),Paramétrage!S23/2,Paramétrage!S23))</f>
        <v>0</v>
      </c>
      <c r="I58" s="243">
        <f>H58*E8</f>
        <v>0</v>
      </c>
      <c r="J58" s="224">
        <v>0</v>
      </c>
      <c r="K58" s="225">
        <f>I58</f>
        <v>0</v>
      </c>
      <c r="L58" s="332"/>
      <c r="M58" s="333"/>
      <c r="N58" s="333"/>
      <c r="O58" s="334"/>
      <c r="P58" s="227">
        <f>SUM(L58:O58)</f>
        <v>0</v>
      </c>
      <c r="Q58" s="185"/>
      <c r="R58" s="295"/>
      <c r="S58" s="185"/>
      <c r="T58" s="185"/>
    </row>
    <row r="59" spans="2:22" s="203" customFormat="1" ht="17.149999999999999" customHeight="1" x14ac:dyDescent="0.25">
      <c r="B59" s="328" t="s">
        <v>833</v>
      </c>
      <c r="C59" s="335" t="s">
        <v>397</v>
      </c>
      <c r="D59" s="336"/>
      <c r="E59" s="336"/>
      <c r="F59" s="336"/>
      <c r="G59" s="337"/>
      <c r="H59" s="223">
        <f>IF(OR(H4="DU",H4="Formation_courte",H4="VAE"),MIN(Paramétrage!S24,Paramétrage!S24/500*'Recettes et simulat prev'!D28),Paramétrage!S24)</f>
        <v>210.96</v>
      </c>
      <c r="I59" s="243">
        <f>H59*$E$7</f>
        <v>4219.2</v>
      </c>
      <c r="J59" s="224">
        <f>I59-K59</f>
        <v>0</v>
      </c>
      <c r="K59" s="225">
        <f>IF($E$7=0,0,I59/$E$7*$E$8)</f>
        <v>4219.2</v>
      </c>
      <c r="L59" s="332"/>
      <c r="M59" s="333"/>
      <c r="N59" s="333"/>
      <c r="O59" s="15"/>
      <c r="P59" s="230">
        <f>SUM(L59:O59)</f>
        <v>0</v>
      </c>
      <c r="Q59" s="338"/>
      <c r="R59" s="295"/>
      <c r="S59" s="185"/>
    </row>
    <row r="60" spans="2:22" s="203" customFormat="1" ht="17.149999999999999" customHeight="1" x14ac:dyDescent="0.25">
      <c r="B60" s="328" t="s">
        <v>834</v>
      </c>
      <c r="C60" s="190" t="s">
        <v>405</v>
      </c>
      <c r="D60" s="339"/>
      <c r="E60" s="339"/>
      <c r="F60" s="339"/>
      <c r="G60" s="339"/>
      <c r="H60" s="223">
        <f>IF(H4="DU",MIN(Paramétrage!S25,Paramétrage!S25/500*'Recettes et simulat prev'!D28),IF(H4="Formation_courte",0,Paramétrage!S25))</f>
        <v>24.240000000000002</v>
      </c>
      <c r="I60" s="243">
        <f>H60*$E$7</f>
        <v>484.80000000000007</v>
      </c>
      <c r="J60" s="224">
        <f>I60-K60</f>
        <v>0</v>
      </c>
      <c r="K60" s="225">
        <f>IF($E$7=0,0,I60/$E$7*$E$8)</f>
        <v>484.80000000000007</v>
      </c>
      <c r="L60" s="332"/>
      <c r="M60" s="333"/>
      <c r="N60" s="333"/>
      <c r="O60" s="15"/>
      <c r="P60" s="230">
        <f>SUM(L60:O60)</f>
        <v>0</v>
      </c>
      <c r="Q60" s="338"/>
      <c r="R60" s="295"/>
      <c r="S60" s="185"/>
      <c r="U60" s="185"/>
      <c r="V60" s="185"/>
    </row>
    <row r="61" spans="2:22" s="185" customFormat="1" ht="17.149999999999999" customHeight="1" thickBot="1" x14ac:dyDescent="0.3">
      <c r="B61" s="328" t="s">
        <v>835</v>
      </c>
      <c r="C61" s="190" t="s">
        <v>413</v>
      </c>
      <c r="D61" s="339"/>
      <c r="E61" s="339"/>
      <c r="F61" s="339"/>
      <c r="G61" s="339"/>
      <c r="H61" s="223">
        <f>IF(H4="DU",MIN(Paramétrage!S26,Paramétrage!S26/500*'Recettes et simulat prev'!D28),IF(OR(H4="Formation_courte",H4="VAE"),0,Paramétrage!S26))</f>
        <v>33.36</v>
      </c>
      <c r="I61" s="243">
        <f>H61*$E$7</f>
        <v>667.2</v>
      </c>
      <c r="J61" s="224">
        <f>I61-K61</f>
        <v>0</v>
      </c>
      <c r="K61" s="225">
        <f>IF($E$7=0,0,I61/$E$7*$E$8)</f>
        <v>667.2</v>
      </c>
      <c r="L61" s="332"/>
      <c r="M61" s="333"/>
      <c r="N61" s="333"/>
      <c r="O61" s="15"/>
      <c r="P61" s="230">
        <f>SUM(L61:O61)</f>
        <v>0</v>
      </c>
      <c r="Q61" s="338"/>
      <c r="R61" s="295"/>
      <c r="T61" s="203"/>
    </row>
    <row r="62" spans="2:22" s="185" customFormat="1" ht="17.149999999999999" customHeight="1" thickBot="1" x14ac:dyDescent="0.3">
      <c r="B62" s="204" t="s">
        <v>836</v>
      </c>
      <c r="C62" s="205"/>
      <c r="D62" s="206"/>
      <c r="E62" s="206"/>
      <c r="F62" s="206"/>
      <c r="G62" s="206"/>
      <c r="H62" s="312"/>
      <c r="I62" s="209">
        <f t="shared" ref="I62:P62" si="8">SUM(I63:I65)</f>
        <v>4742.3999999999996</v>
      </c>
      <c r="J62" s="210">
        <f t="shared" si="8"/>
        <v>0</v>
      </c>
      <c r="K62" s="211">
        <f>SUM(K63:K65)</f>
        <v>4742.3999999999996</v>
      </c>
      <c r="L62" s="209">
        <f t="shared" si="8"/>
        <v>0</v>
      </c>
      <c r="M62" s="208">
        <f t="shared" si="8"/>
        <v>0</v>
      </c>
      <c r="N62" s="208">
        <f t="shared" si="8"/>
        <v>0</v>
      </c>
      <c r="O62" s="209">
        <f t="shared" si="8"/>
        <v>0</v>
      </c>
      <c r="P62" s="211">
        <f t="shared" si="8"/>
        <v>0</v>
      </c>
      <c r="Q62" s="36"/>
      <c r="R62" s="295"/>
    </row>
    <row r="63" spans="2:22" s="185" customFormat="1" ht="17.149999999999999" customHeight="1" x14ac:dyDescent="0.25">
      <c r="B63" s="296" t="s">
        <v>837</v>
      </c>
      <c r="C63" s="297" t="s">
        <v>418</v>
      </c>
      <c r="D63" s="298"/>
      <c r="E63" s="298"/>
      <c r="F63" s="298"/>
      <c r="G63" s="298"/>
      <c r="H63" s="223">
        <f>IF(OR(H4="DU",H4="Formation_courte",H4="VAE"),MIN(Paramétrage!S27,Paramétrage!S27/500*'Recettes et simulat prev'!D28),Paramétrage!S27)</f>
        <v>62.400000000000006</v>
      </c>
      <c r="I63" s="243">
        <f>H63*$E$7</f>
        <v>1248</v>
      </c>
      <c r="J63" s="224">
        <f>I63-K63</f>
        <v>0</v>
      </c>
      <c r="K63" s="225">
        <f>IF($E$7=0,0,I63/$E$7*$E$8)</f>
        <v>1248</v>
      </c>
      <c r="L63" s="332"/>
      <c r="M63" s="333"/>
      <c r="N63" s="333"/>
      <c r="O63" s="15"/>
      <c r="P63" s="230">
        <f>SUM(L63:O63)</f>
        <v>0</v>
      </c>
      <c r="Q63" s="338"/>
      <c r="R63" s="147"/>
    </row>
    <row r="64" spans="2:22" s="185" customFormat="1" ht="17.149999999999999" customHeight="1" x14ac:dyDescent="0.25">
      <c r="B64" s="296" t="s">
        <v>838</v>
      </c>
      <c r="C64" s="297" t="s">
        <v>424</v>
      </c>
      <c r="D64" s="298"/>
      <c r="E64" s="298"/>
      <c r="F64" s="298"/>
      <c r="G64" s="298"/>
      <c r="H64" s="223">
        <f>IF(OR(H4="DU",H4="Formation_courte",H4="VAE"),MIN(Paramétrage!S28,Paramétrage!S28/500*'Recettes et simulat prev'!D28),Paramétrage!S28)</f>
        <v>130.56</v>
      </c>
      <c r="I64" s="243">
        <f>H64*$E$7</f>
        <v>2611.1999999999998</v>
      </c>
      <c r="J64" s="224">
        <f>I64-K64</f>
        <v>0</v>
      </c>
      <c r="K64" s="225">
        <f>IF($E$7=0,0,I64/$E$7*$E$8)</f>
        <v>2611.1999999999998</v>
      </c>
      <c r="L64" s="332"/>
      <c r="M64" s="333"/>
      <c r="N64" s="333"/>
      <c r="O64" s="15"/>
      <c r="P64" s="230">
        <f>SUM(L64:O64)</f>
        <v>0</v>
      </c>
      <c r="Q64" s="338"/>
      <c r="R64" s="295"/>
    </row>
    <row r="65" spans="1:24" s="185" customFormat="1" ht="17.149999999999999" customHeight="1" thickBot="1" x14ac:dyDescent="0.3">
      <c r="B65" s="296" t="s">
        <v>839</v>
      </c>
      <c r="C65" s="297" t="s">
        <v>840</v>
      </c>
      <c r="D65" s="298"/>
      <c r="E65" s="298"/>
      <c r="F65" s="298"/>
      <c r="G65" s="298"/>
      <c r="H65" s="223">
        <f>IF(H4="DU",MIN(Paramétrage!S29,Paramétrage!S29/500*'Recettes et simulat prev'!D28),IF(H4="Formation_courte",0,Paramétrage!S29))</f>
        <v>44.16</v>
      </c>
      <c r="I65" s="243">
        <f>H65*$E$7</f>
        <v>883.19999999999993</v>
      </c>
      <c r="J65" s="224">
        <f>I65-K65</f>
        <v>0</v>
      </c>
      <c r="K65" s="225">
        <f>IF($E$7=0,0,I65/$E$7*$E$8)</f>
        <v>883.19999999999993</v>
      </c>
      <c r="L65" s="332"/>
      <c r="M65" s="333"/>
      <c r="N65" s="333"/>
      <c r="O65" s="15"/>
      <c r="P65" s="230">
        <f>SUM(L65:O65)</f>
        <v>0</v>
      </c>
      <c r="Q65" s="338"/>
      <c r="R65" s="295"/>
      <c r="U65" s="257"/>
    </row>
    <row r="66" spans="1:24" ht="17.149999999999999" customHeight="1" thickBot="1" x14ac:dyDescent="0.3">
      <c r="A66" s="185"/>
      <c r="B66" s="204" t="s">
        <v>841</v>
      </c>
      <c r="C66" s="205"/>
      <c r="D66" s="206"/>
      <c r="E66" s="206"/>
      <c r="F66" s="206"/>
      <c r="G66" s="206"/>
      <c r="H66" s="312"/>
      <c r="I66" s="209">
        <f>I57+I62</f>
        <v>10113.599999999999</v>
      </c>
      <c r="J66" s="210">
        <f t="shared" ref="J66:P66" si="9">J57+J62</f>
        <v>0</v>
      </c>
      <c r="K66" s="211">
        <f>K57+K62</f>
        <v>10113.599999999999</v>
      </c>
      <c r="L66" s="209">
        <f t="shared" si="9"/>
        <v>0</v>
      </c>
      <c r="M66" s="208">
        <f t="shared" si="9"/>
        <v>0</v>
      </c>
      <c r="N66" s="208">
        <f t="shared" si="9"/>
        <v>0</v>
      </c>
      <c r="O66" s="209">
        <f t="shared" si="9"/>
        <v>0</v>
      </c>
      <c r="P66" s="211">
        <f t="shared" si="9"/>
        <v>0</v>
      </c>
      <c r="Q66" s="213">
        <f>IF($K$79=0,0,K66/$K$79)</f>
        <v>0.20211031175059949</v>
      </c>
      <c r="R66" s="340" t="s">
        <v>797</v>
      </c>
      <c r="S66" s="37">
        <f>IF((K66+K53)=0,0,K66/(K66+K53))</f>
        <v>0.30585903591679092</v>
      </c>
      <c r="T66" s="214" t="s">
        <v>842</v>
      </c>
      <c r="U66" s="185"/>
      <c r="V66" s="185"/>
    </row>
    <row r="67" spans="1:24" s="185" customFormat="1" ht="17.149999999999999" customHeight="1" thickBot="1" x14ac:dyDescent="0.3">
      <c r="B67" s="317"/>
      <c r="C67" s="341"/>
      <c r="D67" s="341"/>
      <c r="E67" s="319"/>
      <c r="F67" s="319"/>
      <c r="G67" s="319"/>
      <c r="H67" s="189" t="s">
        <v>843</v>
      </c>
      <c r="I67" s="311">
        <f>IF(E7=0,0,I66/E7)</f>
        <v>505.67999999999995</v>
      </c>
      <c r="J67" s="311">
        <f>IF((E7-E8)=0,0,J66/(E7-E8))</f>
        <v>0</v>
      </c>
      <c r="K67" s="321">
        <f>IF(E8=0,0,K66/E8)</f>
        <v>505.67999999999995</v>
      </c>
      <c r="L67" s="266"/>
      <c r="M67" s="266"/>
      <c r="N67" s="266"/>
      <c r="O67" s="266"/>
      <c r="P67" s="266"/>
      <c r="T67" s="147"/>
    </row>
    <row r="68" spans="1:24" s="185" customFormat="1" ht="17.149999999999999" customHeight="1" thickBot="1" x14ac:dyDescent="0.3">
      <c r="B68" s="342"/>
      <c r="C68" s="343"/>
      <c r="D68" s="343"/>
      <c r="E68" s="343"/>
      <c r="F68" s="343"/>
      <c r="G68" s="343"/>
      <c r="H68" s="343"/>
      <c r="I68" s="344"/>
      <c r="J68" s="344"/>
      <c r="K68" s="345"/>
      <c r="L68" s="346"/>
      <c r="M68" s="346"/>
      <c r="N68" s="346"/>
      <c r="O68" s="346"/>
      <c r="P68" s="346"/>
      <c r="Q68" s="347"/>
      <c r="R68" s="12"/>
      <c r="U68" s="203"/>
      <c r="V68" s="203"/>
    </row>
    <row r="69" spans="1:24" s="203" customFormat="1" ht="24.65" customHeight="1" thickBot="1" x14ac:dyDescent="0.3">
      <c r="B69" s="348" t="s">
        <v>844</v>
      </c>
      <c r="C69" s="348"/>
      <c r="D69" s="349"/>
      <c r="E69" s="350"/>
      <c r="F69" s="349"/>
      <c r="G69" s="351"/>
      <c r="H69" s="352"/>
      <c r="I69" s="353">
        <f>I66+I53</f>
        <v>33066.212903225809</v>
      </c>
      <c r="J69" s="353">
        <f t="shared" ref="J69:P69" si="10">J66+J53</f>
        <v>0</v>
      </c>
      <c r="K69" s="354">
        <f>K66+K53</f>
        <v>33066.212903225809</v>
      </c>
      <c r="L69" s="353">
        <f t="shared" si="10"/>
        <v>0</v>
      </c>
      <c r="M69" s="353">
        <f t="shared" si="10"/>
        <v>0</v>
      </c>
      <c r="N69" s="353">
        <f t="shared" si="10"/>
        <v>0</v>
      </c>
      <c r="O69" s="353">
        <f t="shared" si="10"/>
        <v>0</v>
      </c>
      <c r="P69" s="354">
        <f t="shared" si="10"/>
        <v>0</v>
      </c>
      <c r="Q69" s="213">
        <f>IF($K$79=0,0,K69/$K$79)</f>
        <v>0.66079562156726235</v>
      </c>
      <c r="R69" s="214" t="s">
        <v>797</v>
      </c>
      <c r="S69" s="185"/>
      <c r="T69" s="185"/>
    </row>
    <row r="70" spans="1:24" s="203" customFormat="1" ht="24.65" customHeight="1" x14ac:dyDescent="0.25">
      <c r="B70" s="355"/>
      <c r="C70" s="330"/>
      <c r="D70" s="356"/>
      <c r="E70" s="356"/>
      <c r="F70" s="356"/>
      <c r="G70" s="357"/>
      <c r="H70" s="357" t="s">
        <v>845</v>
      </c>
      <c r="I70" s="358">
        <f>IF(E7=0,0,I69/$E$7)</f>
        <v>1653.3106451612905</v>
      </c>
      <c r="J70" s="359">
        <f>IF(($E$7-$E$8)=0,0,J69/($E$7-$E$8))</f>
        <v>0</v>
      </c>
      <c r="K70" s="360">
        <f>IF(E8=0,0,K69/$E$8)</f>
        <v>1653.3106451612905</v>
      </c>
      <c r="L70" s="38"/>
      <c r="M70" s="38"/>
      <c r="N70" s="38"/>
      <c r="O70" s="276"/>
      <c r="P70" s="276"/>
      <c r="Q70" s="338"/>
      <c r="R70" s="295"/>
      <c r="S70" s="185"/>
      <c r="U70" s="185"/>
      <c r="V70" s="185"/>
    </row>
    <row r="71" spans="1:24" ht="13.5" thickBot="1" x14ac:dyDescent="0.3">
      <c r="B71" s="258"/>
      <c r="C71" s="361"/>
      <c r="D71" s="362"/>
      <c r="E71" s="362"/>
      <c r="F71" s="362"/>
      <c r="G71" s="363"/>
      <c r="H71" s="363" t="s">
        <v>846</v>
      </c>
      <c r="I71" s="303">
        <f>IF('Contrôles SCFC'!I11=0,0,I69/'Contrôles SCFC'!I11)</f>
        <v>200.40129032258065</v>
      </c>
      <c r="J71" s="303">
        <f>IF('Contrôles SCFC'!J11=0,0,J69/'Contrôles SCFC'!J11)</f>
        <v>0</v>
      </c>
      <c r="K71" s="303">
        <f>IF('Contrôles SCFC'!K11=0,0,K69/'Contrôles SCFC'!K11)</f>
        <v>200.40129032258065</v>
      </c>
      <c r="L71" s="303" t="e">
        <f>IF(#REF!=0,0,L69/#REF!)</f>
        <v>#REF!</v>
      </c>
      <c r="M71" s="303" t="e">
        <f>IF(#REF!=0,0,M69/#REF!)</f>
        <v>#REF!</v>
      </c>
      <c r="N71" s="303" t="e">
        <f>IF(#REF!=0,0,N69/#REF!)</f>
        <v>#REF!</v>
      </c>
      <c r="O71" s="303" t="e">
        <f>IF(#REF!=0,0,O69/#REF!)</f>
        <v>#REF!</v>
      </c>
      <c r="P71" s="364" t="e">
        <f>IF(#REF!=0,0,P69/#REF!)</f>
        <v>#REF!</v>
      </c>
      <c r="Q71" s="365"/>
      <c r="R71" s="295"/>
      <c r="S71" s="185"/>
      <c r="T71" s="203"/>
      <c r="U71" s="12"/>
      <c r="V71" s="185"/>
      <c r="W71" s="185"/>
      <c r="X71" s="185"/>
    </row>
    <row r="72" spans="1:24" ht="24.4" customHeight="1" thickBot="1" x14ac:dyDescent="0.3">
      <c r="B72" s="366"/>
      <c r="C72" s="366"/>
      <c r="D72" s="366"/>
      <c r="E72" s="366"/>
      <c r="F72" s="185"/>
      <c r="G72" s="185"/>
      <c r="H72" s="185"/>
      <c r="I72" s="185"/>
      <c r="J72" s="185"/>
      <c r="K72" s="185"/>
      <c r="L72" s="185"/>
      <c r="M72" s="185"/>
      <c r="N72" s="185"/>
      <c r="O72" s="185"/>
      <c r="P72" s="185"/>
      <c r="Q72" s="367"/>
      <c r="R72" s="12"/>
      <c r="S72" s="185"/>
      <c r="T72" s="185"/>
      <c r="U72" s="185"/>
      <c r="V72" s="185"/>
      <c r="W72" s="185"/>
      <c r="X72" s="185"/>
    </row>
    <row r="73" spans="1:24" ht="24.65" customHeight="1" thickBot="1" x14ac:dyDescent="0.3">
      <c r="B73" s="879" t="s">
        <v>847</v>
      </c>
      <c r="C73" s="880"/>
      <c r="D73" s="880"/>
      <c r="E73" s="880"/>
      <c r="F73" s="880"/>
      <c r="G73" s="880"/>
      <c r="H73" s="880"/>
      <c r="I73" s="880"/>
      <c r="J73" s="880"/>
      <c r="K73" s="881"/>
      <c r="L73" s="195"/>
      <c r="M73" s="196"/>
      <c r="N73" s="196"/>
      <c r="O73" s="196"/>
      <c r="P73" s="197"/>
      <c r="Q73" s="12"/>
      <c r="R73" s="12"/>
      <c r="S73" s="185"/>
      <c r="T73" s="12"/>
      <c r="U73" s="12"/>
      <c r="V73" s="12"/>
      <c r="W73" s="185"/>
      <c r="X73" s="185"/>
    </row>
    <row r="74" spans="1:24" s="12" customFormat="1" ht="13.5" thickBot="1" x14ac:dyDescent="0.3">
      <c r="B74" s="368"/>
      <c r="C74" s="185"/>
      <c r="D74" s="185"/>
      <c r="E74" s="185"/>
      <c r="F74" s="185"/>
      <c r="G74" s="185"/>
      <c r="H74" s="186"/>
      <c r="I74" s="39"/>
      <c r="J74" s="39"/>
      <c r="K74" s="40"/>
      <c r="L74" s="41"/>
      <c r="M74" s="41"/>
      <c r="N74" s="41"/>
      <c r="O74" s="41"/>
      <c r="P74" s="41"/>
      <c r="Q74" s="13"/>
      <c r="S74" s="185"/>
      <c r="T74" s="185"/>
      <c r="U74" s="185"/>
      <c r="V74" s="185"/>
    </row>
    <row r="75" spans="1:24" ht="26.5" thickBot="1" x14ac:dyDescent="0.3">
      <c r="B75" s="323" t="s">
        <v>848</v>
      </c>
      <c r="C75" s="324" t="s">
        <v>849</v>
      </c>
      <c r="D75" s="325"/>
      <c r="E75" s="325"/>
      <c r="F75" s="325"/>
      <c r="G75" s="325"/>
      <c r="H75" s="42"/>
      <c r="I75" s="43" t="s">
        <v>712</v>
      </c>
      <c r="J75" s="19" t="s">
        <v>850</v>
      </c>
      <c r="K75" s="20" t="s">
        <v>851</v>
      </c>
      <c r="L75" s="34" t="s">
        <v>792</v>
      </c>
      <c r="M75" s="18" t="s">
        <v>793</v>
      </c>
      <c r="N75" s="18" t="s">
        <v>794</v>
      </c>
      <c r="O75" s="44" t="s">
        <v>795</v>
      </c>
      <c r="P75" s="45" t="s">
        <v>147</v>
      </c>
      <c r="Q75" s="35"/>
      <c r="R75" s="35"/>
      <c r="S75" s="12"/>
      <c r="T75" s="12"/>
      <c r="U75" s="185"/>
      <c r="V75" s="185"/>
      <c r="W75" s="185"/>
      <c r="X75" s="12"/>
    </row>
    <row r="76" spans="1:24" ht="17.149999999999999" customHeight="1" x14ac:dyDescent="0.25">
      <c r="B76" s="285" t="s">
        <v>852</v>
      </c>
      <c r="C76" s="329" t="s">
        <v>853</v>
      </c>
      <c r="D76" s="369"/>
      <c r="E76" s="369"/>
      <c r="F76" s="369"/>
      <c r="G76" s="369"/>
      <c r="H76" s="370"/>
      <c r="I76" s="371">
        <f>J76+K76</f>
        <v>51180</v>
      </c>
      <c r="J76" s="371">
        <f>'Recettes et simulat prev'!H16</f>
        <v>1140</v>
      </c>
      <c r="K76" s="372">
        <f>Formulaire!C22+Formulaire!C23+Formulaire!C24</f>
        <v>50040</v>
      </c>
      <c r="L76" s="290"/>
      <c r="M76" s="291"/>
      <c r="N76" s="373"/>
      <c r="O76" s="373"/>
      <c r="P76" s="293">
        <f>SUM(L76:O76)</f>
        <v>0</v>
      </c>
      <c r="Q76" s="12"/>
      <c r="R76" s="12"/>
      <c r="S76" s="185"/>
      <c r="T76" s="185"/>
      <c r="U76" s="185"/>
      <c r="V76" s="185"/>
      <c r="W76" s="185"/>
      <c r="X76" s="12"/>
    </row>
    <row r="77" spans="1:24" ht="17.149999999999999" customHeight="1" thickBot="1" x14ac:dyDescent="0.3">
      <c r="B77" s="301" t="s">
        <v>854</v>
      </c>
      <c r="C77" s="302" t="s">
        <v>855</v>
      </c>
      <c r="D77" s="374"/>
      <c r="E77" s="374"/>
      <c r="F77" s="374"/>
      <c r="G77" s="374"/>
      <c r="H77" s="375"/>
      <c r="I77" s="376">
        <f>J77+K77</f>
        <v>0</v>
      </c>
      <c r="J77" s="377"/>
      <c r="K77" s="378">
        <f>Formulaire!E22-'Budget détaillé prev'!K76</f>
        <v>0</v>
      </c>
      <c r="L77" s="304"/>
      <c r="M77" s="305"/>
      <c r="N77" s="305"/>
      <c r="O77" s="379"/>
      <c r="P77" s="307">
        <f>SUM(L77:O77)</f>
        <v>0</v>
      </c>
      <c r="Q77" s="12"/>
      <c r="R77" s="12"/>
      <c r="S77" s="185"/>
      <c r="T77" s="185"/>
      <c r="U77" s="185"/>
      <c r="V77" s="185"/>
      <c r="W77" s="185"/>
      <c r="X77" s="12"/>
    </row>
    <row r="78" spans="1:24" s="185" customFormat="1" ht="13.5" customHeight="1" thickBot="1" x14ac:dyDescent="0.3">
      <c r="B78" s="380"/>
      <c r="C78" s="381"/>
      <c r="D78" s="382"/>
      <c r="E78" s="381"/>
      <c r="F78" s="382"/>
      <c r="G78" s="382"/>
      <c r="H78" s="382"/>
      <c r="I78" s="383"/>
      <c r="J78" s="383"/>
      <c r="K78" s="384"/>
      <c r="L78" s="383"/>
      <c r="M78" s="383"/>
      <c r="N78" s="383"/>
      <c r="O78" s="383"/>
      <c r="P78" s="383"/>
      <c r="Q78" s="385"/>
      <c r="R78" s="385"/>
      <c r="S78" s="386"/>
      <c r="U78" s="203"/>
      <c r="V78" s="203"/>
      <c r="X78" s="12"/>
    </row>
    <row r="79" spans="1:24" s="203" customFormat="1" ht="24.65" customHeight="1" thickBot="1" x14ac:dyDescent="0.3">
      <c r="B79" s="348" t="s">
        <v>856</v>
      </c>
      <c r="C79" s="348"/>
      <c r="D79" s="349"/>
      <c r="E79" s="350"/>
      <c r="F79" s="349"/>
      <c r="G79" s="351"/>
      <c r="H79" s="352"/>
      <c r="I79" s="353">
        <f t="shared" ref="I79:P79" si="11">I76+I77</f>
        <v>51180</v>
      </c>
      <c r="J79" s="353">
        <f t="shared" si="11"/>
        <v>1140</v>
      </c>
      <c r="K79" s="354">
        <f t="shared" si="11"/>
        <v>50040</v>
      </c>
      <c r="L79" s="353">
        <f t="shared" si="11"/>
        <v>0</v>
      </c>
      <c r="M79" s="353">
        <f t="shared" si="11"/>
        <v>0</v>
      </c>
      <c r="N79" s="353">
        <f t="shared" si="11"/>
        <v>0</v>
      </c>
      <c r="O79" s="353">
        <f t="shared" si="11"/>
        <v>0</v>
      </c>
      <c r="P79" s="354">
        <f t="shared" si="11"/>
        <v>0</v>
      </c>
      <c r="Q79" s="185"/>
      <c r="R79" s="185"/>
      <c r="S79" s="185"/>
      <c r="T79" s="185"/>
    </row>
    <row r="80" spans="1:24" s="185" customFormat="1" ht="13.5" thickBot="1" x14ac:dyDescent="0.3">
      <c r="B80" s="317"/>
      <c r="C80" s="341"/>
      <c r="D80" s="387"/>
      <c r="E80" s="387"/>
      <c r="F80" s="387"/>
      <c r="G80" s="388"/>
      <c r="H80" s="388" t="s">
        <v>857</v>
      </c>
      <c r="I80" s="389"/>
      <c r="J80" s="389"/>
      <c r="K80" s="390">
        <f>IF(E8=0,0,K79/$E$8)</f>
        <v>2502</v>
      </c>
      <c r="L80" s="38"/>
      <c r="M80" s="38"/>
      <c r="N80" s="38"/>
      <c r="O80" s="276"/>
      <c r="P80" s="276"/>
      <c r="Q80" s="338"/>
      <c r="R80" s="295"/>
      <c r="T80" s="203"/>
    </row>
    <row r="81" spans="2:24" s="185" customFormat="1" ht="24.4" customHeight="1" thickBot="1" x14ac:dyDescent="0.3">
      <c r="C81" s="366"/>
      <c r="D81" s="366"/>
      <c r="E81" s="366"/>
      <c r="F81" s="366"/>
      <c r="G81" s="366"/>
      <c r="H81" s="366"/>
      <c r="I81" s="391"/>
      <c r="J81" s="391"/>
      <c r="K81" s="391"/>
      <c r="L81" s="391"/>
      <c r="M81" s="391"/>
      <c r="N81" s="391"/>
      <c r="O81" s="391"/>
      <c r="P81" s="391"/>
      <c r="Q81" s="257"/>
      <c r="R81" s="12"/>
      <c r="U81" s="203"/>
      <c r="V81" s="203"/>
      <c r="X81" s="12"/>
    </row>
    <row r="82" spans="2:24" ht="24.65" customHeight="1" thickBot="1" x14ac:dyDescent="0.3">
      <c r="B82" s="348" t="s">
        <v>858</v>
      </c>
      <c r="C82" s="348"/>
      <c r="D82" s="349"/>
      <c r="E82" s="350"/>
      <c r="F82" s="349"/>
      <c r="G82" s="351"/>
      <c r="H82" s="352"/>
      <c r="I82" s="353">
        <f t="shared" ref="I82:P82" si="12">I79-I69</f>
        <v>18113.787096774191</v>
      </c>
      <c r="J82" s="353">
        <f t="shared" si="12"/>
        <v>1140</v>
      </c>
      <c r="K82" s="354">
        <f t="shared" si="12"/>
        <v>16973.787096774191</v>
      </c>
      <c r="L82" s="353">
        <f t="shared" si="12"/>
        <v>0</v>
      </c>
      <c r="M82" s="353">
        <f t="shared" si="12"/>
        <v>0</v>
      </c>
      <c r="N82" s="353">
        <f t="shared" si="12"/>
        <v>0</v>
      </c>
      <c r="O82" s="353">
        <f t="shared" si="12"/>
        <v>0</v>
      </c>
      <c r="P82" s="354">
        <f t="shared" si="12"/>
        <v>0</v>
      </c>
      <c r="Q82" s="213">
        <f>IF($K$79=0,0,K82/$K$79)</f>
        <v>0.33920437843273765</v>
      </c>
      <c r="R82" s="214" t="s">
        <v>797</v>
      </c>
      <c r="S82" s="185"/>
      <c r="T82" s="185"/>
    </row>
    <row r="83" spans="2:24" ht="13" thickBot="1" x14ac:dyDescent="0.3"/>
    <row r="84" spans="2:24" ht="22.5" customHeight="1" thickBot="1" x14ac:dyDescent="0.3">
      <c r="B84" s="399" t="s">
        <v>859</v>
      </c>
      <c r="C84" s="396"/>
      <c r="D84" s="397"/>
      <c r="E84" s="397"/>
      <c r="F84" s="397"/>
      <c r="G84" s="397"/>
      <c r="H84" s="397"/>
      <c r="I84" s="398">
        <f>'Excédent mobilisable prev'!I55</f>
        <v>0</v>
      </c>
    </row>
    <row r="85" spans="2:24" ht="13" thickBot="1" x14ac:dyDescent="0.3"/>
    <row r="86" spans="2:24" ht="24.65" customHeight="1" thickBot="1" x14ac:dyDescent="0.3">
      <c r="B86" s="348" t="s">
        <v>860</v>
      </c>
      <c r="C86" s="348"/>
      <c r="D86" s="349"/>
      <c r="E86" s="350"/>
      <c r="F86" s="349"/>
      <c r="G86" s="351"/>
      <c r="H86" s="352"/>
      <c r="I86" s="353">
        <f>I79-I69+I84</f>
        <v>18113.787096774191</v>
      </c>
      <c r="J86" s="353">
        <f>J79-J69+I84</f>
        <v>1140</v>
      </c>
      <c r="K86" s="354">
        <f>K79-K69</f>
        <v>16973.787096774191</v>
      </c>
      <c r="L86" s="353" t="e">
        <f>L81-L71</f>
        <v>#REF!</v>
      </c>
      <c r="M86" s="353" t="e">
        <f>M81-M71</f>
        <v>#REF!</v>
      </c>
      <c r="N86" s="353" t="e">
        <f>N81-N71</f>
        <v>#REF!</v>
      </c>
      <c r="O86" s="353" t="e">
        <f>O81-O71</f>
        <v>#REF!</v>
      </c>
      <c r="P86" s="354" t="e">
        <f>P81-P71</f>
        <v>#REF!</v>
      </c>
      <c r="Q86" s="213">
        <f>IF($K$79=0,0,K86/$K$79)</f>
        <v>0.33920437843273765</v>
      </c>
      <c r="R86" s="214" t="s">
        <v>797</v>
      </c>
    </row>
  </sheetData>
  <sheetProtection algorithmName="SHA-512" hashValue="ZjKRyfX17f/Rmg9ecRdCAhgcBpoC8OpV0KpjXiE99bd8lvOUBz699H80yZEXz2JJW2zvGCVSQArodml5fivgnw==" saltValue="LIJJzQ4oa2tT2mO4KuGfUA==" spinCount="100000" sheet="1" objects="1" scenarios="1"/>
  <mergeCells count="33">
    <mergeCell ref="B26:F26"/>
    <mergeCell ref="C28:F28"/>
    <mergeCell ref="C29:F29"/>
    <mergeCell ref="B31:F31"/>
    <mergeCell ref="B73:K73"/>
    <mergeCell ref="C35:F35"/>
    <mergeCell ref="C36:F36"/>
    <mergeCell ref="C37:F37"/>
    <mergeCell ref="C39:F39"/>
    <mergeCell ref="C30:F30"/>
    <mergeCell ref="C38:F38"/>
    <mergeCell ref="C25:F25"/>
    <mergeCell ref="H7:K7"/>
    <mergeCell ref="B10:K10"/>
    <mergeCell ref="C12:F12"/>
    <mergeCell ref="C15:F15"/>
    <mergeCell ref="C16:F16"/>
    <mergeCell ref="C17:F17"/>
    <mergeCell ref="C18:F18"/>
    <mergeCell ref="B19:F19"/>
    <mergeCell ref="C22:F22"/>
    <mergeCell ref="C23:F23"/>
    <mergeCell ref="C24:F24"/>
    <mergeCell ref="I8:K8"/>
    <mergeCell ref="B2:K2"/>
    <mergeCell ref="L2:P2"/>
    <mergeCell ref="D4:E4"/>
    <mergeCell ref="H4:K4"/>
    <mergeCell ref="D6:E6"/>
    <mergeCell ref="H6:K6"/>
    <mergeCell ref="H5:K5"/>
    <mergeCell ref="D5:E5"/>
    <mergeCell ref="C4:C5"/>
  </mergeCells>
  <phoneticPr fontId="50" type="noConversion"/>
  <printOptions horizontalCentered="1" verticalCentered="1"/>
  <pageMargins left="0.25" right="0.25" top="0.75" bottom="0.75" header="0.3" footer="0.3"/>
  <pageSetup paperSize="8" scale="65" orientation="portrait" r:id="rId1"/>
  <headerFooter alignWithMargins="0"/>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7FDF35-7653-4ABF-8A7C-554FB358B79E}">
  <sheetPr>
    <tabColor rgb="FFE84242"/>
    <pageSetUpPr fitToPage="1"/>
  </sheetPr>
  <dimension ref="A1:Y86"/>
  <sheetViews>
    <sheetView showGridLines="0" showZeros="0" zoomScaleNormal="100" workbookViewId="0">
      <pane ySplit="9" topLeftCell="A10" activePane="bottomLeft" state="frozen"/>
      <selection pane="bottomLeft" activeCell="I8" sqref="I8:K8"/>
    </sheetView>
  </sheetViews>
  <sheetFormatPr baseColWidth="10" defaultColWidth="11.453125" defaultRowHeight="12.5" outlineLevelCol="1" x14ac:dyDescent="0.25"/>
  <cols>
    <col min="1" max="1" width="1.26953125" customWidth="1"/>
    <col min="2" max="2" width="8.81640625" customWidth="1"/>
    <col min="3" max="3" width="14.7265625" customWidth="1"/>
    <col min="4" max="4" width="16.453125" customWidth="1"/>
    <col min="5" max="5" width="14.7265625" customWidth="1"/>
    <col min="6" max="6" width="7.81640625" customWidth="1"/>
    <col min="7" max="7" width="11.81640625" customWidth="1"/>
    <col min="8" max="10" width="11.7265625" customWidth="1"/>
    <col min="11" max="11" width="13.453125" customWidth="1"/>
    <col min="12" max="16" width="11" hidden="1" customWidth="1" outlineLevel="1"/>
    <col min="17" max="17" width="11.1796875" customWidth="1" collapsed="1"/>
    <col min="18" max="18" width="6.7265625" customWidth="1"/>
    <col min="19" max="19" width="6.7265625" bestFit="1" customWidth="1"/>
    <col min="20" max="20" width="15" customWidth="1"/>
    <col min="21" max="21" width="24.453125" bestFit="1" customWidth="1"/>
  </cols>
  <sheetData>
    <row r="1" spans="1:25" ht="7.15" customHeight="1" thickBot="1" x14ac:dyDescent="0.3">
      <c r="A1" s="185"/>
      <c r="B1" s="185"/>
      <c r="C1" s="185"/>
      <c r="D1" s="185"/>
      <c r="E1" s="185"/>
      <c r="F1" s="185"/>
      <c r="G1" s="185"/>
      <c r="H1" s="186"/>
      <c r="I1" s="16"/>
      <c r="J1" s="17"/>
      <c r="K1" s="186"/>
      <c r="L1" s="186"/>
      <c r="M1" s="186"/>
      <c r="N1" s="186"/>
      <c r="O1" s="186"/>
      <c r="P1" s="186"/>
      <c r="Q1" s="12"/>
      <c r="R1" s="12"/>
      <c r="S1" s="185"/>
      <c r="T1" s="185"/>
      <c r="U1" s="185"/>
      <c r="V1" s="185"/>
    </row>
    <row r="2" spans="1:25" ht="28.15" customHeight="1" thickBot="1" x14ac:dyDescent="0.3">
      <c r="A2" s="185"/>
      <c r="B2" s="926" t="s">
        <v>861</v>
      </c>
      <c r="C2" s="927"/>
      <c r="D2" s="927"/>
      <c r="E2" s="927"/>
      <c r="F2" s="927"/>
      <c r="G2" s="927"/>
      <c r="H2" s="927"/>
      <c r="I2" s="927"/>
      <c r="J2" s="927"/>
      <c r="K2" s="928"/>
      <c r="L2" s="879" t="s">
        <v>784</v>
      </c>
      <c r="M2" s="880"/>
      <c r="N2" s="880"/>
      <c r="O2" s="880"/>
      <c r="P2" s="881"/>
      <c r="Q2" s="12"/>
      <c r="R2" s="12"/>
      <c r="S2" s="185"/>
      <c r="T2" s="185"/>
      <c r="U2" s="185"/>
      <c r="V2" s="185"/>
    </row>
    <row r="3" spans="1:25" ht="15" customHeight="1" x14ac:dyDescent="0.25">
      <c r="A3" s="185"/>
      <c r="B3" s="187"/>
      <c r="C3" s="187"/>
      <c r="D3" s="187"/>
      <c r="E3" s="187"/>
      <c r="F3" s="187"/>
      <c r="G3" s="187"/>
      <c r="H3" s="187"/>
      <c r="I3" s="187"/>
      <c r="J3" s="187"/>
      <c r="K3" s="187"/>
      <c r="L3" s="187"/>
      <c r="M3" s="187"/>
      <c r="N3" s="187"/>
      <c r="O3" s="187"/>
      <c r="P3" s="187"/>
      <c r="Q3" s="12"/>
      <c r="R3" s="12"/>
      <c r="S3" s="185"/>
      <c r="T3" s="185"/>
      <c r="U3" s="185"/>
      <c r="V3" s="185"/>
    </row>
    <row r="4" spans="1:25" ht="22.15" customHeight="1" x14ac:dyDescent="0.25">
      <c r="A4" s="185"/>
      <c r="B4" s="185"/>
      <c r="C4" s="932" t="s">
        <v>745</v>
      </c>
      <c r="D4" s="876" t="s">
        <v>746</v>
      </c>
      <c r="E4" s="882"/>
      <c r="F4" s="185"/>
      <c r="G4" s="188" t="s">
        <v>77</v>
      </c>
      <c r="H4" s="886" t="str">
        <f>Formulaire!B9</f>
        <v>DU</v>
      </c>
      <c r="I4" s="930"/>
      <c r="J4" s="930" t="str">
        <f>Formulaire!I6</f>
        <v>DONNEES FINANCIERES</v>
      </c>
      <c r="K4" s="931"/>
      <c r="L4" s="186"/>
      <c r="M4" s="186"/>
      <c r="N4" s="186"/>
      <c r="O4" s="186"/>
      <c r="P4" s="186"/>
      <c r="Q4" s="185"/>
      <c r="R4" s="185"/>
      <c r="S4" s="185"/>
      <c r="T4" s="185"/>
      <c r="U4" s="185"/>
    </row>
    <row r="5" spans="1:25" ht="22.15" customHeight="1" x14ac:dyDescent="0.25">
      <c r="A5" s="185"/>
      <c r="B5" s="185"/>
      <c r="C5" s="932"/>
      <c r="D5" s="929" t="str">
        <f>Formulaire!B8</f>
        <v>Composante</v>
      </c>
      <c r="E5" s="931"/>
      <c r="F5" s="185"/>
      <c r="G5" s="189" t="s">
        <v>81</v>
      </c>
      <c r="H5" s="886" t="str">
        <f>Formulaire!B10</f>
        <v>non</v>
      </c>
      <c r="I5" s="930"/>
      <c r="J5" s="930">
        <f>Formulaire!I7</f>
        <v>0</v>
      </c>
      <c r="K5" s="931"/>
      <c r="L5" s="186"/>
      <c r="M5" s="186"/>
      <c r="N5" s="186"/>
      <c r="O5" s="186"/>
      <c r="P5" s="186"/>
      <c r="Q5" s="12"/>
      <c r="R5" s="12"/>
      <c r="S5" s="185"/>
      <c r="T5" s="185"/>
      <c r="V5" s="185"/>
    </row>
    <row r="6" spans="1:25" ht="30.75" customHeight="1" x14ac:dyDescent="0.25">
      <c r="A6" s="185"/>
      <c r="B6" s="185"/>
      <c r="C6" s="188" t="s">
        <v>747</v>
      </c>
      <c r="D6" s="929" t="str">
        <f>IF(LEFT(Formulaire!$B$8,3)="CFA",'Recettes et simulat réel'!D6,"-")</f>
        <v>-</v>
      </c>
      <c r="E6" s="931"/>
      <c r="F6" s="185"/>
      <c r="G6" s="188" t="s">
        <v>748</v>
      </c>
      <c r="H6" s="886">
        <f>Formulaire!B12</f>
        <v>0</v>
      </c>
      <c r="I6" s="930"/>
      <c r="J6" s="930" t="str">
        <f>Formulaire!I9</f>
        <v>Dotation établissement (FI)</v>
      </c>
      <c r="K6" s="931"/>
      <c r="L6" s="186"/>
      <c r="M6" s="186"/>
      <c r="N6" s="186"/>
      <c r="O6" s="186"/>
      <c r="P6" s="186"/>
      <c r="Q6" s="12"/>
      <c r="R6" s="12"/>
      <c r="S6" s="185"/>
      <c r="T6" s="185"/>
      <c r="V6" s="185"/>
    </row>
    <row r="7" spans="1:25" ht="22.15" customHeight="1" thickBot="1" x14ac:dyDescent="0.3">
      <c r="A7" s="185"/>
      <c r="B7" s="185"/>
      <c r="C7" s="190" t="s">
        <v>79</v>
      </c>
      <c r="D7" s="191"/>
      <c r="E7" s="192">
        <f>Formulaire!F9</f>
        <v>0</v>
      </c>
      <c r="F7" s="185"/>
      <c r="G7" s="188" t="s">
        <v>76</v>
      </c>
      <c r="H7" s="886" t="str">
        <f>Formulaire!B11</f>
        <v>IPsyL</v>
      </c>
      <c r="I7" s="930"/>
      <c r="J7" s="930" t="str">
        <f>Formulaire!I11</f>
        <v>Total Recettes (FI+FA+FC)</v>
      </c>
      <c r="K7" s="931"/>
      <c r="L7" s="186"/>
      <c r="M7" s="186"/>
      <c r="N7" s="186"/>
      <c r="O7" s="186"/>
      <c r="P7" s="186"/>
      <c r="Q7" s="12"/>
      <c r="R7" s="12"/>
      <c r="S7" s="185"/>
      <c r="T7" s="185"/>
      <c r="V7" s="185"/>
    </row>
    <row r="8" spans="1:25" ht="22.15" customHeight="1" thickBot="1" x14ac:dyDescent="0.3">
      <c r="A8" s="185"/>
      <c r="B8" s="185"/>
      <c r="C8" s="190" t="s">
        <v>83</v>
      </c>
      <c r="D8" s="191"/>
      <c r="E8" s="192">
        <f>Formulaire!F10</f>
        <v>0</v>
      </c>
      <c r="F8" s="185"/>
      <c r="G8" s="193" t="s">
        <v>329</v>
      </c>
      <c r="H8" s="185"/>
      <c r="I8" s="896" t="str">
        <f>Formulaire!B2</f>
        <v>2026-2027</v>
      </c>
      <c r="J8" s="897"/>
      <c r="K8" s="898"/>
      <c r="L8" s="185"/>
      <c r="M8" s="185"/>
      <c r="N8" s="185"/>
      <c r="O8" s="185"/>
      <c r="P8" s="185"/>
      <c r="Q8" s="12"/>
      <c r="R8" s="12"/>
    </row>
    <row r="9" spans="1:25" ht="16.149999999999999" customHeight="1" thickBot="1" x14ac:dyDescent="0.3">
      <c r="A9" s="185"/>
      <c r="B9" s="185"/>
      <c r="C9" s="185"/>
      <c r="D9" s="185"/>
      <c r="E9" s="185"/>
      <c r="F9" s="185"/>
      <c r="G9" s="194"/>
      <c r="H9" s="185"/>
      <c r="I9" s="185"/>
      <c r="J9" s="185"/>
      <c r="K9" s="185"/>
      <c r="L9" s="185"/>
      <c r="M9" s="185"/>
      <c r="N9" s="185"/>
      <c r="O9" s="185"/>
      <c r="P9" s="185"/>
      <c r="Q9" s="12"/>
      <c r="R9" s="12"/>
      <c r="S9" s="185"/>
      <c r="T9" s="185"/>
      <c r="U9" s="147"/>
      <c r="V9" s="147"/>
    </row>
    <row r="10" spans="1:25" ht="24.4" customHeight="1" thickBot="1" x14ac:dyDescent="0.3">
      <c r="A10" s="185"/>
      <c r="B10" s="879" t="s">
        <v>785</v>
      </c>
      <c r="C10" s="880"/>
      <c r="D10" s="880"/>
      <c r="E10" s="880"/>
      <c r="F10" s="880"/>
      <c r="G10" s="880"/>
      <c r="H10" s="880"/>
      <c r="I10" s="880"/>
      <c r="J10" s="880"/>
      <c r="K10" s="881"/>
      <c r="L10" s="195"/>
      <c r="M10" s="196"/>
      <c r="N10" s="196"/>
      <c r="O10" s="196"/>
      <c r="P10" s="197"/>
      <c r="Q10" s="12"/>
      <c r="R10" s="12"/>
      <c r="S10" s="185"/>
      <c r="T10" s="12"/>
      <c r="U10" s="12"/>
      <c r="V10" s="12"/>
    </row>
    <row r="11" spans="1:25" s="12" customFormat="1" ht="12.4" customHeight="1" thickBot="1" x14ac:dyDescent="0.3">
      <c r="B11" s="198"/>
      <c r="C11" s="199"/>
      <c r="D11" s="199"/>
      <c r="E11" s="199"/>
      <c r="F11" s="199"/>
      <c r="G11" s="199"/>
      <c r="H11" s="199"/>
      <c r="I11" s="199"/>
      <c r="J11" s="199"/>
      <c r="K11" s="199"/>
      <c r="L11" s="199"/>
      <c r="M11" s="199"/>
      <c r="N11" s="199"/>
      <c r="O11" s="199"/>
      <c r="P11" s="200"/>
      <c r="V11" s="185"/>
    </row>
    <row r="12" spans="1:25" s="185" customFormat="1" ht="42" customHeight="1" thickBot="1" x14ac:dyDescent="0.3">
      <c r="B12" s="201" t="s">
        <v>786</v>
      </c>
      <c r="C12" s="934" t="s">
        <v>787</v>
      </c>
      <c r="D12" s="935"/>
      <c r="E12" s="935"/>
      <c r="F12" s="936"/>
      <c r="G12" s="202" t="s">
        <v>788</v>
      </c>
      <c r="H12" s="18" t="s">
        <v>789</v>
      </c>
      <c r="I12" s="18" t="s">
        <v>712</v>
      </c>
      <c r="J12" s="19" t="s">
        <v>790</v>
      </c>
      <c r="K12" s="20" t="s">
        <v>791</v>
      </c>
      <c r="L12" s="34" t="s">
        <v>792</v>
      </c>
      <c r="M12" s="19" t="s">
        <v>793</v>
      </c>
      <c r="N12" s="19" t="s">
        <v>794</v>
      </c>
      <c r="O12" s="44" t="s">
        <v>795</v>
      </c>
      <c r="P12" s="21" t="s">
        <v>147</v>
      </c>
      <c r="Q12" s="22"/>
      <c r="R12" s="35"/>
      <c r="T12" s="12"/>
      <c r="V12" s="203"/>
    </row>
    <row r="13" spans="1:25" s="203" customFormat="1" ht="21.4" customHeight="1" thickBot="1" x14ac:dyDescent="0.3">
      <c r="B13" s="204" t="s">
        <v>796</v>
      </c>
      <c r="C13" s="205"/>
      <c r="D13" s="206"/>
      <c r="E13" s="206"/>
      <c r="F13" s="206"/>
      <c r="G13" s="207">
        <f>G19+G26+G31</f>
        <v>0</v>
      </c>
      <c r="H13" s="208">
        <f>IF(G19+G26+G31=0,0,(I19+I26+I31)/(G19+G26+G31))</f>
        <v>0</v>
      </c>
      <c r="I13" s="209">
        <f t="shared" ref="I13:P13" si="0">I19+I31+I26</f>
        <v>0</v>
      </c>
      <c r="J13" s="210">
        <f t="shared" si="0"/>
        <v>0</v>
      </c>
      <c r="K13" s="211">
        <f>K19+K31+K26</f>
        <v>0</v>
      </c>
      <c r="L13" s="212">
        <f t="shared" si="0"/>
        <v>0</v>
      </c>
      <c r="M13" s="208">
        <f t="shared" si="0"/>
        <v>0</v>
      </c>
      <c r="N13" s="209">
        <f t="shared" si="0"/>
        <v>0</v>
      </c>
      <c r="O13" s="208">
        <f t="shared" si="0"/>
        <v>0</v>
      </c>
      <c r="P13" s="211">
        <f t="shared" si="0"/>
        <v>0</v>
      </c>
      <c r="Q13" s="213">
        <f>IF($K$79=0,0,K13/$K$79)</f>
        <v>0</v>
      </c>
      <c r="R13" s="214" t="s">
        <v>797</v>
      </c>
      <c r="S13" s="185"/>
      <c r="T13" s="12"/>
    </row>
    <row r="14" spans="1:25" s="185" customFormat="1" ht="17.149999999999999" customHeight="1" x14ac:dyDescent="0.25">
      <c r="B14" s="23" t="s">
        <v>798</v>
      </c>
      <c r="C14" s="215" t="s">
        <v>799</v>
      </c>
      <c r="D14" s="216"/>
      <c r="E14" s="216"/>
      <c r="F14" s="217"/>
      <c r="G14" s="218"/>
      <c r="H14" s="24"/>
      <c r="I14" s="218"/>
      <c r="J14" s="218"/>
      <c r="K14" s="25"/>
      <c r="L14" s="26"/>
      <c r="M14" s="24"/>
      <c r="N14" s="24"/>
      <c r="O14" s="24"/>
      <c r="P14" s="25"/>
      <c r="Q14" s="219"/>
      <c r="R14" s="220">
        <f>SUMIF(Enseignement!$J$9:$J$132,Paramétrage!$D$6,Enseignement!Z$9:Z$132)*Paramétrage!$G$6+SUMIF(Enseignement!$J$9:$J$132,Paramétrage!$D$7,Enseignement!Z$9:Z$132)*Paramétrage!$G$7+SUMIF(Enseignement!$J$9:$J$132,Paramétrage!$D$8,Enseignement!Z$9:Z$132)*Paramétrage!$G$8+SUMIF(Enseignement!$J$9:$J$132,Paramétrage!$D$11,Enseignement!Z$9:Z$132)*Paramétrage!$G$11+SUMIF(Enseignement!$J$9:$J$132,Paramétrage!$D$12,Enseignement!Z$9:Z$132)*Paramétrage!$G$12+SUMIF(Enseignement!$J$9:$J$132,Paramétrage!$D$13,Enseignement!Z$9:Z$132)*Paramétrage!$G$13+SUMIF(Enseignement!$J$9:$J$132,Paramétrage!$D$14,Enseignement!Z$9:Z$132)*Paramétrage!$G$14+SUMIF(Enseignement!$J$9:$J$132,Paramétrage!$D$15,Enseignement!Z$9:Z$132)*Paramétrage!$G$15+SUMIF(Enseignement!$J$9:$J$132,Paramétrage!$D$16,Enseignement!Z$9:Z$132)*Paramétrage!$G$16+SUMIF(Enseignement!$J$9:$J$132,Paramétrage!$D$17,Enseignement!Z$9:Z$132)*Paramétrage!$G$17+SUMIF(Enseignement!$J$9:$J$132,Paramétrage!$D$18,Enseignement!Z$9:Z$132)*Paramétrage!$G$18+SUMIF(Enseignement!$J$9:$J$132,Paramétrage!$D$19,Enseignement!Z$9:Z$132)*Paramétrage!$G$19+SUMIF(Enseignement!$J$9:$J$132,Paramétrage!$D$20,Enseignement!Z$9:Z$132)*Paramétrage!$G$20+SUMIF(Enseignement!$J$9:$J$132,Paramétrage!$D$21,Enseignement!Z$9:Z$132)*Paramétrage!$G$21+SUMIF(Enseignement!$J$9:$J$132,Paramétrage!$D$22,Enseignement!Z$9:Z$132)*Paramétrage!$G$22+SUMIF(Enseignement!$J$9:$J$132,Paramétrage!$D$23,Enseignement!Z$9:Z$132)*Paramétrage!$G$23+SUMIF(Enseignement!$J$9:$J$132,Paramétrage!$D$24,Enseignement!Z$9:Z$132)*Paramétrage!$G$24+SUMIF(Enseignement!$J$9:$J$132,Paramétrage!$D$25,Enseignement!Z$9:Z$132)*Paramétrage!$G$25+SUMIF(Enseignement!$J$9:$J$132,Paramétrage!$D$26,Enseignement!Z$9:Z$132)*Paramétrage!$G$26+SUMIF(Enseignement!$J$9:$J$132,Paramétrage!$D$27,Enseignement!Z$9:Z$132)*Paramétrage!$G$27+SUMIF(Enseignement!$J$9:$J$132,Paramétrage!$D$28,Enseignement!Z$9:Z$132)*Paramétrage!$G$28+SUMIF(Enseignement!$J$9:$J$132,Paramétrage!$D$29,Enseignement!Z$9:Z$132)*Paramétrage!$G$29</f>
        <v>34</v>
      </c>
      <c r="S14" s="221"/>
      <c r="T14" s="222"/>
      <c r="U14" s="178"/>
      <c r="W14" s="203"/>
      <c r="X14" s="203"/>
      <c r="Y14" s="203"/>
    </row>
    <row r="15" spans="1:25" s="203" customFormat="1" ht="17.149999999999999" customHeight="1" x14ac:dyDescent="0.25">
      <c r="B15" s="27" t="s">
        <v>713</v>
      </c>
      <c r="C15" s="787" t="s">
        <v>714</v>
      </c>
      <c r="D15" s="933"/>
      <c r="E15" s="933"/>
      <c r="F15" s="788"/>
      <c r="G15" s="395">
        <f>'calcul heures'!G31</f>
        <v>0</v>
      </c>
      <c r="H15" s="223">
        <f>Paramétrage!S18</f>
        <v>247</v>
      </c>
      <c r="I15" s="224">
        <f>H15*G15</f>
        <v>0</v>
      </c>
      <c r="J15" s="224">
        <f>'calcul heures'!H31*H15</f>
        <v>0</v>
      </c>
      <c r="K15" s="225">
        <f>'calcul heures'!I31*H15</f>
        <v>0</v>
      </c>
      <c r="L15" s="226"/>
      <c r="M15" s="15"/>
      <c r="N15" s="15"/>
      <c r="O15" s="15"/>
      <c r="P15" s="227">
        <f>SUM(L15:O15)</f>
        <v>0</v>
      </c>
      <c r="Q15" s="220"/>
      <c r="R15" s="220"/>
      <c r="S15" s="185"/>
      <c r="T15" s="185"/>
      <c r="U15" s="169" t="s">
        <v>800</v>
      </c>
      <c r="V15" s="228"/>
      <c r="W15" s="541"/>
      <c r="X15" s="12"/>
      <c r="Y15" s="185"/>
    </row>
    <row r="16" spans="1:25" s="203" customFormat="1" ht="17.149999999999999" customHeight="1" x14ac:dyDescent="0.25">
      <c r="B16" s="27" t="s">
        <v>715</v>
      </c>
      <c r="C16" s="787" t="s">
        <v>716</v>
      </c>
      <c r="D16" s="933"/>
      <c r="E16" s="933"/>
      <c r="F16" s="788"/>
      <c r="G16" s="192">
        <f>'calcul heures'!G32</f>
        <v>0</v>
      </c>
      <c r="H16" s="223">
        <f>Paramétrage!S19</f>
        <v>130</v>
      </c>
      <c r="I16" s="229">
        <f>H16*G16</f>
        <v>0</v>
      </c>
      <c r="J16" s="224">
        <f>'calcul heures'!H32*H16</f>
        <v>0</v>
      </c>
      <c r="K16" s="225">
        <f>'calcul heures'!I32*H16</f>
        <v>0</v>
      </c>
      <c r="L16" s="226"/>
      <c r="M16" s="15"/>
      <c r="N16" s="15"/>
      <c r="O16" s="15"/>
      <c r="P16" s="230">
        <f>SUM(L16:O16)</f>
        <v>0</v>
      </c>
      <c r="Q16" s="220"/>
      <c r="R16" s="220"/>
      <c r="S16" s="220"/>
      <c r="U16" s="185"/>
      <c r="V16" s="185"/>
      <c r="W16"/>
    </row>
    <row r="17" spans="2:23" s="203" customFormat="1" ht="17.149999999999999" customHeight="1" x14ac:dyDescent="0.25">
      <c r="B17" s="27" t="s">
        <v>717</v>
      </c>
      <c r="C17" s="787" t="s">
        <v>718</v>
      </c>
      <c r="D17" s="933"/>
      <c r="E17" s="933"/>
      <c r="F17" s="788"/>
      <c r="G17" s="192">
        <f>'calcul heures'!G33</f>
        <v>0</v>
      </c>
      <c r="H17" s="223">
        <f>Paramétrage!S20</f>
        <v>62</v>
      </c>
      <c r="I17" s="229">
        <f>H17*G17</f>
        <v>0</v>
      </c>
      <c r="J17" s="224">
        <f>'calcul heures'!H33*H17</f>
        <v>0</v>
      </c>
      <c r="K17" s="225">
        <f>'calcul heures'!I33*H17</f>
        <v>0</v>
      </c>
      <c r="L17" s="226"/>
      <c r="M17" s="15"/>
      <c r="N17" s="15"/>
      <c r="O17" s="15"/>
      <c r="P17" s="230">
        <f>SUM(L17:O17)</f>
        <v>0</v>
      </c>
      <c r="Q17" s="220"/>
      <c r="R17" s="220"/>
      <c r="S17" s="231"/>
      <c r="T17" s="220"/>
      <c r="U17" s="178"/>
    </row>
    <row r="18" spans="2:23" s="203" customFormat="1" ht="18.399999999999999" customHeight="1" x14ac:dyDescent="0.25">
      <c r="B18" s="27" t="s">
        <v>719</v>
      </c>
      <c r="C18" s="787" t="s">
        <v>720</v>
      </c>
      <c r="D18" s="933"/>
      <c r="E18" s="933"/>
      <c r="F18" s="788"/>
      <c r="G18" s="192">
        <f>'calcul heures'!G34</f>
        <v>0</v>
      </c>
      <c r="H18" s="223">
        <f>Paramétrage!S21</f>
        <v>46</v>
      </c>
      <c r="I18" s="229">
        <f>H18*G18</f>
        <v>0</v>
      </c>
      <c r="J18" s="224">
        <f>'calcul heures'!H34*H18</f>
        <v>0</v>
      </c>
      <c r="K18" s="225">
        <f>'calcul heures'!I34*H18</f>
        <v>0</v>
      </c>
      <c r="L18" s="226"/>
      <c r="M18" s="226"/>
      <c r="N18" s="233"/>
      <c r="O18" s="15"/>
      <c r="P18" s="230">
        <f>SUM(L18:O18)</f>
        <v>0</v>
      </c>
      <c r="Q18" s="234"/>
      <c r="R18" s="220"/>
      <c r="S18" s="220"/>
      <c r="T18" s="220"/>
      <c r="U18" s="178"/>
    </row>
    <row r="19" spans="2:23" s="203" customFormat="1" ht="22.15" customHeight="1" thickBot="1" x14ac:dyDescent="0.3">
      <c r="B19" s="937" t="s">
        <v>721</v>
      </c>
      <c r="C19" s="938"/>
      <c r="D19" s="938"/>
      <c r="E19" s="938"/>
      <c r="F19" s="939"/>
      <c r="G19" s="235">
        <f>SUM(G15:G18)</f>
        <v>0</v>
      </c>
      <c r="H19" s="236">
        <f>IF(G19=0,0,I19/G19)</f>
        <v>0</v>
      </c>
      <c r="I19" s="237">
        <f t="shared" ref="I19:P19" si="1">SUM(I15:I18)</f>
        <v>0</v>
      </c>
      <c r="J19" s="238">
        <f t="shared" si="1"/>
        <v>0</v>
      </c>
      <c r="K19" s="239">
        <f t="shared" si="1"/>
        <v>0</v>
      </c>
      <c r="L19" s="240">
        <f t="shared" si="1"/>
        <v>0</v>
      </c>
      <c r="M19" s="237">
        <f t="shared" si="1"/>
        <v>0</v>
      </c>
      <c r="N19" s="237">
        <f t="shared" si="1"/>
        <v>0</v>
      </c>
      <c r="O19" s="237">
        <f t="shared" si="1"/>
        <v>0</v>
      </c>
      <c r="P19" s="239">
        <f t="shared" si="1"/>
        <v>0</v>
      </c>
      <c r="Q19" s="213">
        <f>IF($K$79=0,0,K19/$K$79)</f>
        <v>0</v>
      </c>
      <c r="R19" s="214" t="s">
        <v>797</v>
      </c>
      <c r="S19" s="185"/>
      <c r="T19" s="12"/>
      <c r="U19" s="12"/>
      <c r="V19" s="185"/>
    </row>
    <row r="20" spans="2:23" s="185" customFormat="1" ht="16.899999999999999" customHeight="1" x14ac:dyDescent="0.25">
      <c r="B20" s="23" t="s">
        <v>722</v>
      </c>
      <c r="C20" s="215" t="s">
        <v>723</v>
      </c>
      <c r="D20" s="216"/>
      <c r="E20" s="216"/>
      <c r="F20" s="217"/>
      <c r="G20" s="218"/>
      <c r="H20" s="24"/>
      <c r="I20" s="218"/>
      <c r="J20" s="218"/>
      <c r="K20" s="25"/>
      <c r="L20" s="26"/>
      <c r="M20" s="24"/>
      <c r="N20" s="24"/>
      <c r="O20" s="24"/>
      <c r="P20" s="25"/>
      <c r="Q20" s="241"/>
      <c r="R20" s="12"/>
      <c r="S20" s="12"/>
      <c r="T20" s="12"/>
      <c r="U20" s="203"/>
      <c r="V20" s="203"/>
    </row>
    <row r="21" spans="2:23" s="203" customFormat="1" ht="16.899999999999999" customHeight="1" x14ac:dyDescent="0.25">
      <c r="B21" s="27" t="s">
        <v>724</v>
      </c>
      <c r="C21" s="242" t="s">
        <v>801</v>
      </c>
      <c r="D21" s="405"/>
      <c r="E21" s="405"/>
      <c r="F21" s="406"/>
      <c r="G21" s="162">
        <f>'calcul heures'!G37</f>
        <v>0</v>
      </c>
      <c r="H21" s="243">
        <f>IF(G21=0,0,(SUMIF(Enseignement!$J$9:$J$132,Paramétrage!$D$15,Enseignement!AC$9:AC$132)*$H$15+SUMIF(Enseignement!$J$9:$J$132,Paramétrage!$D$15,Enseignement!AD$9:AD$132)*$H$16+SUMIF(Enseignement!$J$9:$J$132,Paramétrage!$D$15,Enseignement!AE$9:AE$132)*$H$17+SUMIF(Enseignement!$J$9:$J$132,Paramétrage!$D$15,Enseignement!AF$9:AF$132)*$H$18)/G21)</f>
        <v>0</v>
      </c>
      <c r="I21" s="224">
        <f>H21*G21</f>
        <v>0</v>
      </c>
      <c r="J21" s="229">
        <f>'calcul heures'!H37*H21</f>
        <v>0</v>
      </c>
      <c r="K21" s="225">
        <f>'calcul heures'!I37*H21</f>
        <v>0</v>
      </c>
      <c r="L21" s="226"/>
      <c r="M21" s="233"/>
      <c r="N21" s="233"/>
      <c r="O21" s="15"/>
      <c r="P21" s="227">
        <f>SUM(L21:O21)</f>
        <v>0</v>
      </c>
      <c r="Q21" s="220"/>
      <c r="R21" s="220"/>
      <c r="S21" s="231"/>
      <c r="T21" s="234"/>
      <c r="V21" s="220"/>
      <c r="W21" s="221"/>
    </row>
    <row r="22" spans="2:23" s="203" customFormat="1" ht="16.899999999999999" customHeight="1" x14ac:dyDescent="0.25">
      <c r="B22" s="27" t="s">
        <v>726</v>
      </c>
      <c r="C22" s="787" t="s">
        <v>802</v>
      </c>
      <c r="D22" s="933"/>
      <c r="E22" s="933"/>
      <c r="F22" s="788"/>
      <c r="G22" s="162">
        <f>'calcul heures'!G38</f>
        <v>0</v>
      </c>
      <c r="H22" s="243">
        <f>IF(G22=0,0,(SUMIF(Enseignement!$J$9:$J$132,Paramétrage!$D$18,Enseignement!AC$9:AC$132)*$H$15+SUMIF(Enseignement!$J$9:$J$132,Paramétrage!$D$18,Enseignement!AD$9:AD$132)*$H$16+SUMIF(Enseignement!$J$9:$J$132,Paramétrage!$D$18,Enseignement!AE$9:AE$132)*$H$17+SUMIF(Enseignement!$J$9:$J$132,Paramétrage!$D$18,Enseignement!AF$9:AF$132)*$H$18)/G22)</f>
        <v>0</v>
      </c>
      <c r="I22" s="224">
        <f>H22*G22</f>
        <v>0</v>
      </c>
      <c r="J22" s="229">
        <f>'calcul heures'!H38*H22</f>
        <v>0</v>
      </c>
      <c r="K22" s="225">
        <f>'calcul heures'!I38*H22</f>
        <v>0</v>
      </c>
      <c r="L22" s="15"/>
      <c r="M22" s="15"/>
      <c r="N22" s="15"/>
      <c r="O22" s="15"/>
      <c r="P22" s="230">
        <f>SUM(L22:O22)</f>
        <v>0</v>
      </c>
      <c r="Q22" s="220"/>
      <c r="R22" s="220"/>
      <c r="S22" s="231"/>
      <c r="T22" s="220"/>
      <c r="V22" s="220"/>
      <c r="W22" s="221"/>
    </row>
    <row r="23" spans="2:23" s="203" customFormat="1" ht="16.899999999999999" customHeight="1" x14ac:dyDescent="0.25">
      <c r="B23" s="27" t="s">
        <v>728</v>
      </c>
      <c r="C23" s="787" t="s">
        <v>729</v>
      </c>
      <c r="D23" s="933"/>
      <c r="E23" s="933"/>
      <c r="F23" s="788"/>
      <c r="G23" s="162">
        <f>'calcul heures'!G39</f>
        <v>0</v>
      </c>
      <c r="H23" s="243">
        <f>IF(G23=0,0,(SUMIF(Enseignement!$J$9:$J$132,Paramétrage!$D$9,Enseignement!AC$9:AC$132)*$H$15+SUMIF(Enseignement!$J$9:$J$132,Paramétrage!$D$9,Enseignement!AD$9:AD$132)*$H$16+SUMIF(Enseignement!$J$9:$J$132,Paramétrage!$D$9,Enseignement!AE$9:AE$132)*$H$17+SUMIF(Enseignement!$J$9:$J$132,Paramétrage!$D$9,Enseignement!AF$9:AF$132)*$H$18)/G23)</f>
        <v>0</v>
      </c>
      <c r="I23" s="224">
        <f>H23*G23</f>
        <v>0</v>
      </c>
      <c r="J23" s="229">
        <f>'calcul heures'!H39*H23</f>
        <v>0</v>
      </c>
      <c r="K23" s="225">
        <f>'calcul heures'!I39*H23</f>
        <v>0</v>
      </c>
      <c r="L23" s="226"/>
      <c r="M23" s="15"/>
      <c r="N23" s="15"/>
      <c r="O23" s="15"/>
      <c r="P23" s="230">
        <f>SUM(L23:O23)</f>
        <v>0</v>
      </c>
      <c r="Q23" s="220"/>
      <c r="R23" s="220"/>
      <c r="S23" s="231"/>
      <c r="T23" s="220"/>
      <c r="V23" s="220"/>
      <c r="W23" s="221"/>
    </row>
    <row r="24" spans="2:23" s="203" customFormat="1" ht="16.899999999999999" customHeight="1" x14ac:dyDescent="0.25">
      <c r="B24" s="27" t="s">
        <v>730</v>
      </c>
      <c r="C24" s="787" t="s">
        <v>731</v>
      </c>
      <c r="D24" s="933"/>
      <c r="E24" s="933"/>
      <c r="F24" s="788"/>
      <c r="G24" s="162">
        <f>'calcul heures'!G40</f>
        <v>0</v>
      </c>
      <c r="H24" s="243">
        <f>IF(G24=0,0,(SUMIF(Enseignement!$J$9:$J$132,Paramétrage!$D$12,Enseignement!AC$9:AC$132)*$H$15+SUMIF(Enseignement!$J$9:$J$132,Paramétrage!$D$12,Enseignement!AD$9:AD$132)*$H$16+SUMIF(Enseignement!$J$9:$J$132,Paramétrage!$D$12,Enseignement!AE$9:AE$132)*$H$17+SUMIF(Enseignement!$J$9:$J$132,Paramétrage!$D$12,Enseignement!AF$9:AF$132)*$H$18)/G24)</f>
        <v>0</v>
      </c>
      <c r="I24" s="224">
        <f>H24*G24</f>
        <v>0</v>
      </c>
      <c r="J24" s="229">
        <f>'calcul heures'!H40*H24</f>
        <v>0</v>
      </c>
      <c r="K24" s="225">
        <f>'calcul heures'!I40*H24</f>
        <v>0</v>
      </c>
      <c r="L24" s="226"/>
      <c r="M24" s="233"/>
      <c r="N24" s="233"/>
      <c r="O24" s="15"/>
      <c r="P24" s="230">
        <f>SUM(L24:O24)</f>
        <v>0</v>
      </c>
      <c r="Q24" s="220"/>
      <c r="R24" s="220"/>
      <c r="S24" s="231"/>
      <c r="T24" s="220"/>
      <c r="V24" s="220"/>
      <c r="W24" s="221"/>
    </row>
    <row r="25" spans="2:23" s="203" customFormat="1" ht="16.899999999999999" customHeight="1" x14ac:dyDescent="0.25">
      <c r="B25" s="27" t="s">
        <v>732</v>
      </c>
      <c r="C25" s="787" t="s">
        <v>803</v>
      </c>
      <c r="D25" s="933"/>
      <c r="E25" s="933"/>
      <c r="F25" s="788"/>
      <c r="G25" s="162">
        <f>'calcul heures'!G41</f>
        <v>0</v>
      </c>
      <c r="H25" s="243">
        <f>IF(G25=0,0,(SUMIF(Enseignement!$J$9:$J$132,Paramétrage!$D$22,Enseignement!AC$9:AC$132)*$H$15+SUMIF(Enseignement!$J$9:$J$132,Paramétrage!$D$22,Enseignement!AD$9:AD$132)*$H$16+SUMIF(Enseignement!$J$9:$J$132,Paramétrage!$D$22,Enseignement!AE$9:AE$132)*$H$17+SUMIF(Enseignement!$J$9:$J$132,Paramétrage!$D$22,Enseignement!AF$9:AF$132)*$H$18)/G25)+IF(G25=0,0,(SUMIF(Enseignement!$J$9:$J$132,Paramétrage!$D$25,Enseignement!AC$9:AC$132)*$H$15+SUMIF(Enseignement!$J$9:$J$132,Paramétrage!$D$25,Enseignement!AD$9:AD$132)*$H$16+SUMIF(Enseignement!$J$9:$J$132,Paramétrage!$D$25,Enseignement!AE$9:AE$132)*$H$17+SUMIF(Enseignement!$J$9:$J$132,Paramétrage!$D$25,Enseignement!AF$9:AF$132)*$H$18)/G25)</f>
        <v>0</v>
      </c>
      <c r="I25" s="224">
        <f>H25*G25</f>
        <v>0</v>
      </c>
      <c r="J25" s="229">
        <f>'calcul heures'!H41*H25</f>
        <v>0</v>
      </c>
      <c r="K25" s="225">
        <f>'calcul heures'!I41*H25</f>
        <v>0</v>
      </c>
      <c r="L25" s="15"/>
      <c r="M25" s="15"/>
      <c r="N25" s="15"/>
      <c r="O25" s="15"/>
      <c r="P25" s="230">
        <f>SUM(L25:O25)</f>
        <v>0</v>
      </c>
      <c r="Q25" s="220">
        <f>IF($I25=0,0,$G25*$J25/$I25)</f>
        <v>0</v>
      </c>
      <c r="R25" s="220">
        <f>SUMIF(Enseignement!$J$9:$J$132,Paramétrage!D21,Enseignement!Z$9:Z$132)</f>
        <v>0</v>
      </c>
      <c r="S25" s="231">
        <f>R25*H25</f>
        <v>0</v>
      </c>
      <c r="T25" s="220"/>
      <c r="V25" s="220"/>
      <c r="W25" s="221"/>
    </row>
    <row r="26" spans="2:23" s="203" customFormat="1" ht="21.4" customHeight="1" thickBot="1" x14ac:dyDescent="0.3">
      <c r="B26" s="937" t="s">
        <v>734</v>
      </c>
      <c r="C26" s="938"/>
      <c r="D26" s="938"/>
      <c r="E26" s="938"/>
      <c r="F26" s="939"/>
      <c r="G26" s="235">
        <f>SUM(G21:G25)</f>
        <v>0</v>
      </c>
      <c r="H26" s="236">
        <f>IF(G26=0,0,I26/G26)</f>
        <v>0</v>
      </c>
      <c r="I26" s="236">
        <f t="shared" ref="I26:O26" si="2">SUM(I21:I25)</f>
        <v>0</v>
      </c>
      <c r="J26" s="236">
        <f t="shared" si="2"/>
        <v>0</v>
      </c>
      <c r="K26" s="239">
        <f t="shared" si="2"/>
        <v>0</v>
      </c>
      <c r="L26" s="244">
        <f t="shared" si="2"/>
        <v>0</v>
      </c>
      <c r="M26" s="245">
        <f t="shared" si="2"/>
        <v>0</v>
      </c>
      <c r="N26" s="246">
        <f t="shared" si="2"/>
        <v>0</v>
      </c>
      <c r="O26" s="237">
        <f t="shared" si="2"/>
        <v>0</v>
      </c>
      <c r="P26" s="239">
        <f>SUM(P21:P24)</f>
        <v>0</v>
      </c>
      <c r="Q26" s="213">
        <f>IF($K$79=0,0,K26/$K$79)</f>
        <v>0</v>
      </c>
      <c r="R26" s="214" t="s">
        <v>797</v>
      </c>
      <c r="S26" s="185"/>
      <c r="T26" s="147"/>
    </row>
    <row r="27" spans="2:23" s="203" customFormat="1" ht="16.899999999999999" customHeight="1" x14ac:dyDescent="0.25">
      <c r="B27" s="23" t="s">
        <v>735</v>
      </c>
      <c r="C27" s="215" t="s">
        <v>736</v>
      </c>
      <c r="D27" s="216"/>
      <c r="E27" s="216"/>
      <c r="F27" s="217"/>
      <c r="G27" s="218"/>
      <c r="H27" s="24"/>
      <c r="I27" s="218"/>
      <c r="J27" s="218"/>
      <c r="K27" s="25"/>
      <c r="L27" s="28"/>
      <c r="M27" s="29"/>
      <c r="N27" s="29"/>
      <c r="O27" s="29"/>
      <c r="P27" s="30"/>
      <c r="Q27" s="247"/>
      <c r="R27" s="234">
        <f>IF($I27=0,0,IF($P27=0,0,$G27*$J27/$I27*L27/$P27))</f>
        <v>0</v>
      </c>
      <c r="S27" s="234">
        <f>IF($I27=0,0,IF($P27=0,0,$G27*$J27/$I27*M27/$P27))</f>
        <v>0</v>
      </c>
      <c r="T27" s="234">
        <f>IF($I27=0,0,IF($P27=0,0,$G27*$J27/$I27*N27/$P27))</f>
        <v>0</v>
      </c>
      <c r="U27" s="248">
        <f>IF($I27=0,0,IF($P27=0,0,$G27*$J27/$I27*O27/$P27))</f>
        <v>0</v>
      </c>
      <c r="V27" s="249"/>
    </row>
    <row r="28" spans="2:23" s="203" customFormat="1" ht="16.899999999999999" customHeight="1" x14ac:dyDescent="0.25">
      <c r="B28" s="27" t="s">
        <v>737</v>
      </c>
      <c r="C28" s="787" t="s">
        <v>122</v>
      </c>
      <c r="D28" s="933"/>
      <c r="E28" s="933"/>
      <c r="F28" s="788"/>
      <c r="G28" s="393">
        <f>Formulaire!C36</f>
        <v>0</v>
      </c>
      <c r="H28" s="243">
        <f>+H15</f>
        <v>247</v>
      </c>
      <c r="I28" s="251">
        <f>H28*G28</f>
        <v>0</v>
      </c>
      <c r="J28" s="224">
        <f>I28-K28</f>
        <v>0</v>
      </c>
      <c r="K28" s="225">
        <f>IF($E$7=0,0,I28/$E$7*$E$8)</f>
        <v>0</v>
      </c>
      <c r="L28" s="252"/>
      <c r="M28" s="15"/>
      <c r="N28" s="15"/>
      <c r="O28" s="15"/>
      <c r="P28" s="230">
        <f>SUM(L28:O28)</f>
        <v>0</v>
      </c>
      <c r="Q28" s="220"/>
      <c r="R28" s="220"/>
      <c r="S28" s="220"/>
      <c r="T28" s="220"/>
      <c r="U28" s="220"/>
      <c r="V28" s="232"/>
      <c r="W28" s="253"/>
    </row>
    <row r="29" spans="2:23" s="203" customFormat="1" ht="16.899999999999999" customHeight="1" x14ac:dyDescent="0.25">
      <c r="B29" s="27" t="s">
        <v>738</v>
      </c>
      <c r="C29" s="787" t="s">
        <v>739</v>
      </c>
      <c r="D29" s="933"/>
      <c r="E29" s="933"/>
      <c r="F29" s="788"/>
      <c r="G29" s="393">
        <f>Formulaire!C37</f>
        <v>0</v>
      </c>
      <c r="H29" s="243">
        <f>$H$19</f>
        <v>0</v>
      </c>
      <c r="I29" s="251">
        <f>H29*G29</f>
        <v>0</v>
      </c>
      <c r="J29" s="224">
        <f>I29-K29</f>
        <v>0</v>
      </c>
      <c r="K29" s="225">
        <f>I29</f>
        <v>0</v>
      </c>
      <c r="L29" s="252"/>
      <c r="M29" s="226"/>
      <c r="N29" s="15"/>
      <c r="O29" s="15"/>
      <c r="P29" s="230">
        <f>SUM(L29:O29)</f>
        <v>0</v>
      </c>
      <c r="Q29" s="220"/>
      <c r="R29" s="220"/>
      <c r="S29" s="220"/>
      <c r="T29" s="220"/>
      <c r="U29" s="220"/>
      <c r="V29" s="232"/>
      <c r="W29" s="253"/>
    </row>
    <row r="30" spans="2:23" s="203" customFormat="1" ht="16.899999999999999" hidden="1" customHeight="1" x14ac:dyDescent="0.25">
      <c r="B30" s="27" t="s">
        <v>740</v>
      </c>
      <c r="C30" s="404" t="s">
        <v>124</v>
      </c>
      <c r="D30" s="405"/>
      <c r="E30" s="405"/>
      <c r="F30" s="406"/>
      <c r="G30" s="393">
        <f>Formulaire!C38</f>
        <v>0</v>
      </c>
      <c r="H30" s="243">
        <f>$H$19</f>
        <v>0</v>
      </c>
      <c r="I30" s="254">
        <f>H30*G30</f>
        <v>0</v>
      </c>
      <c r="J30" s="224">
        <f>I30-K30</f>
        <v>0</v>
      </c>
      <c r="K30" s="225">
        <f>IF($E$7=0,0,I30/$E$7*$E$8)</f>
        <v>0</v>
      </c>
      <c r="L30" s="255"/>
      <c r="M30" s="15"/>
      <c r="N30" s="15"/>
      <c r="O30" s="15"/>
      <c r="P30" s="230">
        <f>SUM(L30:O30)</f>
        <v>0</v>
      </c>
      <c r="Q30" s="220"/>
      <c r="R30" s="220"/>
      <c r="S30" s="220"/>
      <c r="T30" s="220"/>
      <c r="U30" s="220"/>
      <c r="V30" s="232"/>
      <c r="W30" s="253"/>
    </row>
    <row r="31" spans="2:23" s="203" customFormat="1" ht="21" customHeight="1" thickBot="1" x14ac:dyDescent="0.3">
      <c r="B31" s="937" t="s">
        <v>741</v>
      </c>
      <c r="C31" s="938"/>
      <c r="D31" s="938"/>
      <c r="E31" s="938"/>
      <c r="F31" s="939"/>
      <c r="G31" s="235">
        <f>SUM(G28:G30)</f>
        <v>0</v>
      </c>
      <c r="H31" s="236">
        <f>IF(G31=0,0,I31/G31)</f>
        <v>0</v>
      </c>
      <c r="I31" s="236">
        <f t="shared" ref="I31:O31" si="3">SUM(I28:I30)</f>
        <v>0</v>
      </c>
      <c r="J31" s="236">
        <f t="shared" si="3"/>
        <v>0</v>
      </c>
      <c r="K31" s="256">
        <f t="shared" si="3"/>
        <v>0</v>
      </c>
      <c r="L31" s="240">
        <f t="shared" si="3"/>
        <v>0</v>
      </c>
      <c r="M31" s="237">
        <f t="shared" si="3"/>
        <v>0</v>
      </c>
      <c r="N31" s="237">
        <f t="shared" si="3"/>
        <v>0</v>
      </c>
      <c r="O31" s="237">
        <f t="shared" si="3"/>
        <v>0</v>
      </c>
      <c r="P31" s="239">
        <f>SUM(P27:P30)</f>
        <v>0</v>
      </c>
      <c r="Q31" s="213">
        <f>IF($K$79=0,0,K31/$K$79)</f>
        <v>0</v>
      </c>
      <c r="R31" s="214" t="s">
        <v>797</v>
      </c>
      <c r="S31" s="185"/>
      <c r="T31" s="147"/>
      <c r="U31" s="257"/>
    </row>
    <row r="32" spans="2:23" s="203" customFormat="1" ht="21" customHeight="1" thickBot="1" x14ac:dyDescent="0.3">
      <c r="B32" s="258"/>
      <c r="C32" s="259"/>
      <c r="D32" s="260"/>
      <c r="E32" s="261"/>
      <c r="F32" s="261"/>
      <c r="G32" s="261"/>
      <c r="H32" s="262" t="s">
        <v>804</v>
      </c>
      <c r="I32" s="263">
        <f>IF($E$7=0,0,(I31+I19+I26)/$E$7)</f>
        <v>0</v>
      </c>
      <c r="J32" s="264">
        <f>IF($E$7-$E$8=0,0,(J31+J19+J26)/($E$7-$E$8))</f>
        <v>0</v>
      </c>
      <c r="K32" s="265">
        <f>IF($E$8=0,0,(K31+K19+K26)/$E$8)</f>
        <v>0</v>
      </c>
      <c r="L32" s="266"/>
      <c r="M32" s="266"/>
      <c r="N32" s="266"/>
      <c r="O32" s="266"/>
      <c r="P32" s="266"/>
      <c r="Q32" s="267"/>
      <c r="R32" s="267"/>
      <c r="S32" s="268"/>
      <c r="T32" s="269"/>
      <c r="U32" s="147"/>
      <c r="V32" s="270"/>
    </row>
    <row r="33" spans="2:22" s="203" customFormat="1" ht="21" customHeight="1" thickBot="1" x14ac:dyDescent="0.3">
      <c r="B33" s="204" t="s">
        <v>126</v>
      </c>
      <c r="C33" s="205"/>
      <c r="D33" s="206"/>
      <c r="E33" s="206"/>
      <c r="F33" s="206"/>
      <c r="G33" s="207"/>
      <c r="H33" s="208"/>
      <c r="I33" s="209">
        <f>SUM(I35:I39)</f>
        <v>0</v>
      </c>
      <c r="J33" s="210">
        <f>SUM(J35:J39)</f>
        <v>0</v>
      </c>
      <c r="K33" s="211">
        <f>SUM(K35:K39)</f>
        <v>0</v>
      </c>
      <c r="L33" s="212">
        <f>L40+L52+L47</f>
        <v>0</v>
      </c>
      <c r="M33" s="208">
        <f>M40+M52+M47</f>
        <v>0</v>
      </c>
      <c r="N33" s="209">
        <f>N40+N52+N47</f>
        <v>0</v>
      </c>
      <c r="O33" s="208">
        <f>O40+O52+O47</f>
        <v>0</v>
      </c>
      <c r="P33" s="211">
        <f>P40+P52+P47</f>
        <v>0</v>
      </c>
      <c r="Q33" s="213">
        <f>IF($K$79=0,0,K33/$K$79)</f>
        <v>0</v>
      </c>
      <c r="R33" s="214" t="s">
        <v>797</v>
      </c>
      <c r="S33" s="268"/>
      <c r="T33" s="269"/>
      <c r="U33" s="147"/>
      <c r="V33" s="270"/>
    </row>
    <row r="34" spans="2:22" s="203" customFormat="1" ht="16.899999999999999" customHeight="1" x14ac:dyDescent="0.25">
      <c r="B34" s="23" t="s">
        <v>805</v>
      </c>
      <c r="C34" s="215"/>
      <c r="D34" s="216"/>
      <c r="E34" s="216"/>
      <c r="F34" s="217"/>
      <c r="G34" s="273" t="s">
        <v>806</v>
      </c>
      <c r="H34" s="179" t="s">
        <v>807</v>
      </c>
      <c r="I34" s="218"/>
      <c r="J34" s="218"/>
      <c r="K34" s="25"/>
      <c r="L34" s="542"/>
      <c r="M34" s="543"/>
      <c r="N34" s="544"/>
      <c r="O34" s="543"/>
      <c r="P34" s="545"/>
      <c r="Q34" s="546"/>
      <c r="R34" s="295"/>
      <c r="S34" s="268"/>
      <c r="T34" s="269"/>
      <c r="U34" s="147"/>
      <c r="V34" s="270"/>
    </row>
    <row r="35" spans="2:22" s="203" customFormat="1" ht="16.899999999999999" customHeight="1" x14ac:dyDescent="0.25">
      <c r="B35" s="27" t="s">
        <v>808</v>
      </c>
      <c r="C35" s="787" t="str">
        <f>Formulaire!A43</f>
        <v>BIATSS catégorie A</v>
      </c>
      <c r="D35" s="933"/>
      <c r="E35" s="933"/>
      <c r="F35" s="788"/>
      <c r="G35" s="392" t="str">
        <f>IFERROR(IF(Formulaire!E43="",Formulaire!$F$10/Formulaire!G43,Formulaire!E43),"")</f>
        <v/>
      </c>
      <c r="H35" s="274">
        <f>Formulaire!C43</f>
        <v>0</v>
      </c>
      <c r="I35" s="401" t="str">
        <f>IFERROR(H35*G35,"")</f>
        <v/>
      </c>
      <c r="J35" s="402" t="str">
        <f>IFERROR(I35-K35,"")</f>
        <v/>
      </c>
      <c r="K35" s="403">
        <f>IFERROR(IF($E$7=0,0,I35/$E$7*$E$8),"")</f>
        <v>0</v>
      </c>
      <c r="L35" s="547"/>
      <c r="M35" s="548"/>
      <c r="N35" s="548"/>
      <c r="O35" s="548"/>
      <c r="P35" s="549"/>
      <c r="Q35" s="220"/>
      <c r="R35" s="220"/>
      <c r="S35" s="268"/>
      <c r="T35" s="269"/>
      <c r="U35" s="147"/>
      <c r="V35" s="270"/>
    </row>
    <row r="36" spans="2:22" s="203" customFormat="1" ht="16.899999999999999" customHeight="1" x14ac:dyDescent="0.25">
      <c r="B36" s="27" t="s">
        <v>809</v>
      </c>
      <c r="C36" s="787" t="str">
        <f>Formulaire!A44</f>
        <v>BIATSS catégorie C</v>
      </c>
      <c r="D36" s="933"/>
      <c r="E36" s="933"/>
      <c r="F36" s="788"/>
      <c r="G36" s="392" t="str">
        <f>IFERROR(IF(Formulaire!E44="",Formulaire!$F$10/Formulaire!G44,Formulaire!E44),"")</f>
        <v/>
      </c>
      <c r="H36" s="274">
        <f>Formulaire!C44</f>
        <v>0</v>
      </c>
      <c r="I36" s="401" t="str">
        <f>IFERROR(H36*G36,"")</f>
        <v/>
      </c>
      <c r="J36" s="402" t="str">
        <f>IFERROR(I36-K36,"")</f>
        <v/>
      </c>
      <c r="K36" s="403">
        <f>IFERROR(IF($E$7=0,0,I36/$E$7*$E$8),"")</f>
        <v>0</v>
      </c>
      <c r="L36" s="266"/>
      <c r="M36" s="266"/>
      <c r="N36" s="266"/>
      <c r="O36" s="266"/>
      <c r="P36" s="266"/>
      <c r="Q36" s="267"/>
      <c r="R36" s="267"/>
      <c r="S36" s="268"/>
      <c r="T36" s="269"/>
      <c r="U36" s="147"/>
      <c r="V36" s="270"/>
    </row>
    <row r="37" spans="2:22" s="203" customFormat="1" ht="16.899999999999999" customHeight="1" x14ac:dyDescent="0.25">
      <c r="B37" s="27" t="s">
        <v>810</v>
      </c>
      <c r="C37" s="787">
        <f>Formulaire!A45</f>
        <v>0</v>
      </c>
      <c r="D37" s="933"/>
      <c r="E37" s="933"/>
      <c r="F37" s="788"/>
      <c r="G37" s="392" t="str">
        <f>IFERROR(IF(Formulaire!E45="",Formulaire!$F$10/Formulaire!G45,Formulaire!E45),"")</f>
        <v/>
      </c>
      <c r="H37" s="274">
        <f>Formulaire!C45</f>
        <v>0</v>
      </c>
      <c r="I37" s="401" t="str">
        <f>IFERROR(H37*G37,"")</f>
        <v/>
      </c>
      <c r="J37" s="402" t="str">
        <f>IFERROR(I37-K37,"")</f>
        <v/>
      </c>
      <c r="K37" s="403">
        <f>IFERROR(IF($E$7=0,0,I37/$E$7*$E$8),"")</f>
        <v>0</v>
      </c>
      <c r="L37" s="266"/>
      <c r="M37" s="266"/>
      <c r="N37" s="266"/>
      <c r="O37" s="266"/>
      <c r="P37" s="266"/>
      <c r="Q37" s="267"/>
      <c r="R37" s="267"/>
      <c r="S37" s="268"/>
      <c r="T37" s="269"/>
      <c r="U37" s="147"/>
      <c r="V37" s="270"/>
    </row>
    <row r="38" spans="2:22" s="203" customFormat="1" ht="16.899999999999999" customHeight="1" thickBot="1" x14ac:dyDescent="0.3">
      <c r="B38" s="27" t="s">
        <v>811</v>
      </c>
      <c r="C38" s="787">
        <f>Formulaire!A46</f>
        <v>0</v>
      </c>
      <c r="D38" s="933"/>
      <c r="E38" s="933"/>
      <c r="F38" s="788"/>
      <c r="G38" s="392" t="str">
        <f>IFERROR(IF(Formulaire!E46="",Formulaire!$F$10/Formulaire!G46,Formulaire!E46),"")</f>
        <v/>
      </c>
      <c r="H38" s="274">
        <f>Formulaire!C46</f>
        <v>0</v>
      </c>
      <c r="I38" s="401" t="str">
        <f>IFERROR(H38*G38,"")</f>
        <v/>
      </c>
      <c r="J38" s="402" t="str">
        <f>IFERROR(I38-K38,"")</f>
        <v/>
      </c>
      <c r="K38" s="403">
        <f>IFERROR(IF($E$7=0,0,I38/$E$7*$E$8),"")</f>
        <v>0</v>
      </c>
      <c r="L38" s="266"/>
      <c r="M38" s="266"/>
      <c r="N38" s="266"/>
      <c r="O38" s="266"/>
      <c r="P38" s="266"/>
      <c r="Q38" s="267"/>
      <c r="R38" s="267"/>
      <c r="S38" s="268"/>
      <c r="T38" s="269"/>
      <c r="U38" s="147"/>
      <c r="V38" s="270"/>
    </row>
    <row r="39" spans="2:22" s="185" customFormat="1" ht="16.899999999999999" customHeight="1" thickBot="1" x14ac:dyDescent="0.3">
      <c r="B39" s="27" t="s">
        <v>812</v>
      </c>
      <c r="C39" s="787">
        <f>Formulaire!A47</f>
        <v>0</v>
      </c>
      <c r="D39" s="933"/>
      <c r="E39" s="933"/>
      <c r="F39" s="788"/>
      <c r="G39" s="392" t="str">
        <f>IFERROR(IF(Formulaire!E47="",Formulaire!$F$10/Formulaire!G47,Formulaire!E47),"")</f>
        <v/>
      </c>
      <c r="H39" s="274">
        <f>Formulaire!C47</f>
        <v>0</v>
      </c>
      <c r="I39" s="401" t="str">
        <f>IFERROR(H39*G39,"")</f>
        <v/>
      </c>
      <c r="J39" s="402" t="str">
        <f>IFERROR(I39-K39,"")</f>
        <v/>
      </c>
      <c r="K39" s="403">
        <f>IFERROR(IF($E$7=0,0,I39/$E$7*$E$8),"")</f>
        <v>0</v>
      </c>
      <c r="L39" s="212">
        <f>SUM(L40:L48)</f>
        <v>0</v>
      </c>
      <c r="M39" s="208">
        <f>SUM(M40:M48)</f>
        <v>0</v>
      </c>
      <c r="N39" s="209">
        <f>SUM(N40:N48)</f>
        <v>0</v>
      </c>
      <c r="O39" s="208">
        <f>SUM(O40:O48)</f>
        <v>0</v>
      </c>
      <c r="P39" s="284">
        <f>SUM(P40:P48)</f>
        <v>0</v>
      </c>
      <c r="U39" s="203"/>
      <c r="V39" s="203"/>
    </row>
    <row r="40" spans="2:22" s="203" customFormat="1" ht="16.899999999999999" customHeight="1" thickBot="1" x14ac:dyDescent="0.3">
      <c r="B40" s="258"/>
      <c r="C40" s="259"/>
      <c r="D40" s="260"/>
      <c r="E40" s="261"/>
      <c r="F40" s="261"/>
      <c r="G40" s="261"/>
      <c r="H40" s="262" t="s">
        <v>813</v>
      </c>
      <c r="I40" s="263">
        <f>IF($E$7=0,0,I33/$E$7)</f>
        <v>0</v>
      </c>
      <c r="J40" s="264">
        <f>IF($E$7-$E$8=0,0,J33/($E$7-$E$8))</f>
        <v>0</v>
      </c>
      <c r="K40" s="265">
        <f>IF($E$8=0,0,K33/$E$8)</f>
        <v>0</v>
      </c>
      <c r="L40" s="290"/>
      <c r="M40" s="291"/>
      <c r="N40" s="292"/>
      <c r="O40" s="291"/>
      <c r="P40" s="293">
        <f t="shared" ref="P40:P48" si="4">SUM(L40:O40)</f>
        <v>0</v>
      </c>
      <c r="Q40" s="294"/>
      <c r="R40" s="295"/>
      <c r="S40" s="185"/>
    </row>
    <row r="41" spans="2:22" s="203" customFormat="1" ht="16.899999999999999" customHeight="1" thickBot="1" x14ac:dyDescent="0.3">
      <c r="B41" s="258"/>
      <c r="C41" s="259"/>
      <c r="D41" s="260"/>
      <c r="E41" s="261"/>
      <c r="F41" s="261"/>
      <c r="G41" s="261"/>
      <c r="H41" s="262" t="s">
        <v>814</v>
      </c>
      <c r="I41" s="263">
        <f>IF($E$7=0,0,(I33+I13)/$E$7)</f>
        <v>0</v>
      </c>
      <c r="J41" s="264">
        <f>IF($E$7=$E$8,0,(J33+J13)/($E$7-$E$8))</f>
        <v>0</v>
      </c>
      <c r="K41" s="265">
        <f>IF(E8=0,0,(K33+K13)/$E$8)</f>
        <v>0</v>
      </c>
      <c r="L41" s="252"/>
      <c r="M41" s="226"/>
      <c r="N41" s="300"/>
      <c r="O41" s="226"/>
      <c r="P41" s="230">
        <f t="shared" si="4"/>
        <v>0</v>
      </c>
      <c r="Q41" s="294"/>
      <c r="R41" s="295"/>
      <c r="S41" s="185"/>
    </row>
    <row r="42" spans="2:22" s="203" customFormat="1" ht="16.899999999999999" customHeight="1" thickBot="1" x14ac:dyDescent="0.3">
      <c r="B42" s="277" t="s">
        <v>815</v>
      </c>
      <c r="C42" s="278"/>
      <c r="D42" s="279"/>
      <c r="E42" s="279"/>
      <c r="F42" s="279"/>
      <c r="G42" s="279"/>
      <c r="H42" s="280"/>
      <c r="I42" s="281">
        <f>SUM(I43:I51)</f>
        <v>0</v>
      </c>
      <c r="J42" s="282">
        <f>SUM(J43:J51)</f>
        <v>0</v>
      </c>
      <c r="K42" s="283">
        <f>SUM(K43:K51)</f>
        <v>0</v>
      </c>
      <c r="L42" s="252"/>
      <c r="M42" s="226"/>
      <c r="N42" s="300"/>
      <c r="O42" s="226"/>
      <c r="P42" s="230">
        <f t="shared" si="4"/>
        <v>0</v>
      </c>
      <c r="Q42" s="213">
        <f>IF($K$79=0,0,K42/$K$79)</f>
        <v>0</v>
      </c>
      <c r="R42" s="214" t="s">
        <v>797</v>
      </c>
      <c r="S42" s="185"/>
    </row>
    <row r="43" spans="2:22" s="203" customFormat="1" ht="16.899999999999999" customHeight="1" x14ac:dyDescent="0.25">
      <c r="B43" s="550" t="s">
        <v>816</v>
      </c>
      <c r="C43" s="286" t="s">
        <v>136</v>
      </c>
      <c r="D43" s="287"/>
      <c r="E43" s="287"/>
      <c r="F43" s="287"/>
      <c r="G43" s="287"/>
      <c r="H43" s="287"/>
      <c r="I43" s="288">
        <f>Formulaire!D53</f>
        <v>0</v>
      </c>
      <c r="J43" s="289">
        <f t="shared" ref="J43:J51" si="5">I43-K43</f>
        <v>0</v>
      </c>
      <c r="K43" s="31">
        <f>IF($E$7=0,0,I43/$E$7*$E$8)</f>
        <v>0</v>
      </c>
      <c r="L43" s="252"/>
      <c r="M43" s="226"/>
      <c r="N43" s="300"/>
      <c r="O43" s="226"/>
      <c r="P43" s="230">
        <f t="shared" si="4"/>
        <v>0</v>
      </c>
      <c r="Q43" s="294"/>
      <c r="R43" s="295"/>
      <c r="S43" s="185"/>
    </row>
    <row r="44" spans="2:22" s="203" customFormat="1" ht="16.899999999999999" customHeight="1" x14ac:dyDescent="0.25">
      <c r="B44" s="296" t="s">
        <v>817</v>
      </c>
      <c r="C44" s="297" t="s">
        <v>137</v>
      </c>
      <c r="D44" s="298"/>
      <c r="E44" s="298"/>
      <c r="F44" s="298"/>
      <c r="G44" s="298"/>
      <c r="H44" s="298"/>
      <c r="I44" s="299">
        <f>Formulaire!D54</f>
        <v>0</v>
      </c>
      <c r="J44" s="243">
        <f t="shared" si="5"/>
        <v>0</v>
      </c>
      <c r="K44" s="32">
        <f>IF($E$7=0,0,I44/$E$7*$E$8)</f>
        <v>0</v>
      </c>
      <c r="L44" s="252"/>
      <c r="M44" s="226"/>
      <c r="N44" s="300"/>
      <c r="O44" s="226"/>
      <c r="P44" s="230">
        <f t="shared" si="4"/>
        <v>0</v>
      </c>
      <c r="Q44" s="294"/>
      <c r="R44" s="295"/>
      <c r="S44" s="185"/>
    </row>
    <row r="45" spans="2:22" s="203" customFormat="1" ht="16.899999999999999" customHeight="1" x14ac:dyDescent="0.25">
      <c r="B45" s="296" t="s">
        <v>818</v>
      </c>
      <c r="C45" s="297" t="s">
        <v>138</v>
      </c>
      <c r="D45" s="298"/>
      <c r="E45" s="298"/>
      <c r="F45" s="298"/>
      <c r="G45" s="298"/>
      <c r="H45" s="298"/>
      <c r="I45" s="299">
        <f>Formulaire!D55</f>
        <v>0</v>
      </c>
      <c r="J45" s="243">
        <f t="shared" si="5"/>
        <v>0</v>
      </c>
      <c r="K45" s="32">
        <f>IF($E$7=0,0,I45/$E$7*$E$8)</f>
        <v>0</v>
      </c>
      <c r="L45" s="252"/>
      <c r="M45" s="226"/>
      <c r="N45" s="300"/>
      <c r="O45" s="226"/>
      <c r="P45" s="230">
        <f t="shared" si="4"/>
        <v>0</v>
      </c>
      <c r="Q45" s="294"/>
      <c r="R45" s="295"/>
      <c r="S45" s="185"/>
    </row>
    <row r="46" spans="2:22" s="203" customFormat="1" ht="16.899999999999999" customHeight="1" x14ac:dyDescent="0.25">
      <c r="B46" s="296" t="s">
        <v>819</v>
      </c>
      <c r="C46" s="297" t="s">
        <v>139</v>
      </c>
      <c r="D46" s="298"/>
      <c r="E46" s="298"/>
      <c r="F46" s="298"/>
      <c r="G46" s="298"/>
      <c r="H46" s="298"/>
      <c r="I46" s="299">
        <f>Formulaire!D56</f>
        <v>0</v>
      </c>
      <c r="J46" s="243">
        <f t="shared" si="5"/>
        <v>0</v>
      </c>
      <c r="K46" s="32">
        <f>IF($E$7=0,0,I46/$E$7*$E$8)</f>
        <v>0</v>
      </c>
      <c r="L46" s="252"/>
      <c r="M46" s="226"/>
      <c r="N46" s="300"/>
      <c r="O46" s="226"/>
      <c r="P46" s="230">
        <f t="shared" si="4"/>
        <v>0</v>
      </c>
      <c r="Q46" s="294"/>
      <c r="R46" s="295"/>
      <c r="S46" s="185"/>
    </row>
    <row r="47" spans="2:22" s="203" customFormat="1" ht="16.899999999999999" customHeight="1" x14ac:dyDescent="0.25">
      <c r="B47" s="296" t="s">
        <v>820</v>
      </c>
      <c r="C47" s="297" t="s">
        <v>140</v>
      </c>
      <c r="D47" s="298"/>
      <c r="E47" s="298"/>
      <c r="F47" s="298"/>
      <c r="G47" s="298"/>
      <c r="H47" s="298"/>
      <c r="I47" s="299">
        <f>Formulaire!D57</f>
        <v>0</v>
      </c>
      <c r="J47" s="243">
        <f t="shared" si="5"/>
        <v>0</v>
      </c>
      <c r="K47" s="32">
        <f>IF($E$7=0,0,I47/$E$7*$E$8)</f>
        <v>0</v>
      </c>
      <c r="L47" s="252"/>
      <c r="M47" s="226"/>
      <c r="N47" s="300"/>
      <c r="O47" s="226"/>
      <c r="P47" s="230">
        <f t="shared" si="4"/>
        <v>0</v>
      </c>
      <c r="Q47" s="294"/>
      <c r="R47" s="295"/>
      <c r="S47" s="185"/>
    </row>
    <row r="48" spans="2:22" s="203" customFormat="1" ht="16.899999999999999" customHeight="1" thickBot="1" x14ac:dyDescent="0.3">
      <c r="B48" s="296" t="s">
        <v>821</v>
      </c>
      <c r="C48" s="297" t="s">
        <v>141</v>
      </c>
      <c r="D48" s="298"/>
      <c r="E48" s="298"/>
      <c r="F48" s="298"/>
      <c r="G48" s="298"/>
      <c r="H48" s="298"/>
      <c r="I48" s="299">
        <f>Formulaire!D58</f>
        <v>0</v>
      </c>
      <c r="J48" s="243">
        <f>I48-K48</f>
        <v>0</v>
      </c>
      <c r="K48" s="32">
        <v>0</v>
      </c>
      <c r="L48" s="304"/>
      <c r="M48" s="305"/>
      <c r="N48" s="306"/>
      <c r="O48" s="305"/>
      <c r="P48" s="307">
        <f t="shared" si="4"/>
        <v>0</v>
      </c>
      <c r="Q48" s="294"/>
      <c r="R48" s="295"/>
      <c r="S48" s="185"/>
    </row>
    <row r="49" spans="1:22" s="203" customFormat="1" ht="16.899999999999999" customHeight="1" x14ac:dyDescent="0.25">
      <c r="B49" s="296" t="s">
        <v>822</v>
      </c>
      <c r="C49" s="297" t="s">
        <v>142</v>
      </c>
      <c r="D49" s="298"/>
      <c r="E49" s="298"/>
      <c r="F49" s="298"/>
      <c r="G49" s="298"/>
      <c r="H49" s="298"/>
      <c r="I49" s="299">
        <f>Formulaire!D59</f>
        <v>0</v>
      </c>
      <c r="J49" s="243">
        <v>0</v>
      </c>
      <c r="K49" s="32">
        <f>I49-J49</f>
        <v>0</v>
      </c>
      <c r="L49" s="711"/>
      <c r="M49" s="711"/>
      <c r="N49" s="711"/>
      <c r="O49" s="711"/>
      <c r="P49" s="276"/>
      <c r="Q49" s="294"/>
      <c r="R49" s="295"/>
      <c r="S49" s="185"/>
    </row>
    <row r="50" spans="1:22" s="203" customFormat="1" ht="16.899999999999999" customHeight="1" thickBot="1" x14ac:dyDescent="0.3">
      <c r="B50" s="296" t="s">
        <v>823</v>
      </c>
      <c r="C50" s="297" t="s">
        <v>143</v>
      </c>
      <c r="D50" s="298"/>
      <c r="E50" s="298"/>
      <c r="F50" s="298"/>
      <c r="G50" s="298"/>
      <c r="H50" s="298"/>
      <c r="I50" s="299">
        <f>Formulaire!D60</f>
        <v>0</v>
      </c>
      <c r="J50" s="243">
        <v>0</v>
      </c>
      <c r="K50" s="32">
        <f>I50-J50</f>
        <v>0</v>
      </c>
      <c r="L50" s="266"/>
      <c r="M50" s="266"/>
      <c r="N50" s="266"/>
      <c r="O50" s="266"/>
      <c r="P50" s="266"/>
      <c r="Q50" s="294"/>
      <c r="R50" s="295"/>
      <c r="S50" s="185"/>
      <c r="U50" s="185"/>
      <c r="V50" s="185"/>
    </row>
    <row r="51" spans="1:22" s="185" customFormat="1" ht="16.899999999999999" customHeight="1" thickBot="1" x14ac:dyDescent="0.3">
      <c r="B51" s="296" t="s">
        <v>824</v>
      </c>
      <c r="C51" s="297" t="s">
        <v>144</v>
      </c>
      <c r="D51" s="298"/>
      <c r="E51" s="298"/>
      <c r="F51" s="298"/>
      <c r="G51" s="298"/>
      <c r="H51" s="298"/>
      <c r="I51" s="299">
        <f>Formulaire!D61</f>
        <v>0</v>
      </c>
      <c r="J51" s="274">
        <f t="shared" si="5"/>
        <v>0</v>
      </c>
      <c r="K51" s="32">
        <f>IF($E$7=0,0,I51/$E$7*$E$8)</f>
        <v>0</v>
      </c>
      <c r="L51" s="313">
        <f>L39+L31+L19+L26</f>
        <v>0</v>
      </c>
      <c r="M51" s="313">
        <f>M39+M31+M19+M26</f>
        <v>0</v>
      </c>
      <c r="N51" s="313">
        <f>N39+N31+N19+N26</f>
        <v>0</v>
      </c>
      <c r="O51" s="313">
        <f>O39+O31+O19+O26</f>
        <v>0</v>
      </c>
      <c r="P51" s="314">
        <f>P39+P31+P19+P26</f>
        <v>0</v>
      </c>
      <c r="S51" s="316"/>
      <c r="U51" s="257"/>
      <c r="V51" s="203"/>
    </row>
    <row r="52" spans="1:22" s="203" customFormat="1" ht="17.149999999999999" customHeight="1" thickBot="1" x14ac:dyDescent="0.3">
      <c r="B52" s="308"/>
      <c r="C52" s="309"/>
      <c r="E52" s="310"/>
      <c r="F52" s="310"/>
      <c r="G52" s="310"/>
      <c r="H52" s="189" t="s">
        <v>825</v>
      </c>
      <c r="I52" s="264">
        <f>IF(E7=0,0,I42/$E$7)</f>
        <v>0</v>
      </c>
      <c r="J52" s="264">
        <f>IF(E7-E8=0,0,J42/($E$7-$E$8))</f>
        <v>0</v>
      </c>
      <c r="K52" s="265">
        <f>IF($E$8=0,0,K42/$E$8)</f>
        <v>0</v>
      </c>
      <c r="L52" s="266"/>
      <c r="M52" s="266"/>
      <c r="N52" s="266"/>
      <c r="O52" s="266"/>
      <c r="P52" s="266"/>
      <c r="Q52" s="33"/>
      <c r="R52" s="295"/>
      <c r="S52" s="185"/>
      <c r="T52" s="147"/>
      <c r="U52" s="12"/>
      <c r="V52" s="12"/>
    </row>
    <row r="53" spans="1:22" s="12" customFormat="1" ht="17.149999999999999" customHeight="1" thickBot="1" x14ac:dyDescent="0.3">
      <c r="B53" s="204" t="s">
        <v>826</v>
      </c>
      <c r="C53" s="205"/>
      <c r="D53" s="206"/>
      <c r="E53" s="206"/>
      <c r="F53" s="206"/>
      <c r="G53" s="206"/>
      <c r="H53" s="312"/>
      <c r="I53" s="313">
        <f>I13+I33+I42</f>
        <v>0</v>
      </c>
      <c r="J53" s="313">
        <f>J13+J33+J42</f>
        <v>0</v>
      </c>
      <c r="K53" s="313">
        <f>K13+K33+K42</f>
        <v>0</v>
      </c>
      <c r="L53" s="34" t="str">
        <f>L12</f>
        <v>Lyon 2</v>
      </c>
      <c r="M53" s="19" t="str">
        <f>M12</f>
        <v>Partenaire 1</v>
      </c>
      <c r="N53" s="19" t="str">
        <f>N12</f>
        <v>Partenaire 2</v>
      </c>
      <c r="O53" s="19" t="str">
        <f>O12</f>
        <v>Partenaire 3</v>
      </c>
      <c r="P53" s="21" t="s">
        <v>147</v>
      </c>
      <c r="Q53" s="315">
        <f>IF($K$79=0,0,K53/$K$79)</f>
        <v>0</v>
      </c>
      <c r="R53" s="214" t="s">
        <v>797</v>
      </c>
      <c r="U53" s="185"/>
      <c r="V53" s="185"/>
    </row>
    <row r="54" spans="1:22" s="185" customFormat="1" ht="17.149999999999999" customHeight="1" thickBot="1" x14ac:dyDescent="0.3">
      <c r="B54" s="317"/>
      <c r="C54" s="318"/>
      <c r="D54" s="318"/>
      <c r="E54" s="319"/>
      <c r="F54" s="319"/>
      <c r="G54" s="319"/>
      <c r="H54" s="320" t="s">
        <v>827</v>
      </c>
      <c r="I54" s="263">
        <f>IF(E7=0,0,I53/E7)</f>
        <v>0</v>
      </c>
      <c r="J54" s="311">
        <f>IF((E7-E8)=0,0,J53/(E7-E8))</f>
        <v>0</v>
      </c>
      <c r="K54" s="321">
        <f>IF(E8=0,0,K53/E8)</f>
        <v>0</v>
      </c>
      <c r="L54" s="209">
        <f>SUM(L55:L58)</f>
        <v>0</v>
      </c>
      <c r="M54" s="208">
        <f>SUM(M55:M58)</f>
        <v>0</v>
      </c>
      <c r="N54" s="208">
        <f>SUM(N55:N58)</f>
        <v>0</v>
      </c>
      <c r="O54" s="209">
        <f>SUM(O55:O58)</f>
        <v>0</v>
      </c>
      <c r="P54" s="211">
        <f>SUM(P55:P58)</f>
        <v>0</v>
      </c>
      <c r="Q54" s="241"/>
      <c r="R54" s="327"/>
    </row>
    <row r="55" spans="1:22" s="185" customFormat="1" ht="13.5" customHeight="1" thickBot="1" x14ac:dyDescent="0.3">
      <c r="B55" s="308"/>
      <c r="C55" s="203"/>
      <c r="D55" s="203"/>
      <c r="E55" s="310"/>
      <c r="F55" s="310"/>
      <c r="G55" s="310"/>
      <c r="H55" s="189"/>
      <c r="I55" s="263"/>
      <c r="J55" s="263"/>
      <c r="K55" s="322"/>
      <c r="L55" s="332"/>
      <c r="M55" s="333"/>
      <c r="N55" s="333"/>
      <c r="O55" s="334"/>
      <c r="P55" s="227">
        <f>SUM(L55:O55)</f>
        <v>0</v>
      </c>
      <c r="R55" s="295"/>
      <c r="U55" s="203"/>
      <c r="V55" s="203"/>
    </row>
    <row r="56" spans="1:22" s="203" customFormat="1" ht="40.5" customHeight="1" thickBot="1" x14ac:dyDescent="0.3">
      <c r="B56" s="323" t="s">
        <v>828</v>
      </c>
      <c r="C56" s="324" t="s">
        <v>829</v>
      </c>
      <c r="D56" s="325"/>
      <c r="E56" s="325"/>
      <c r="F56" s="325"/>
      <c r="G56" s="325"/>
      <c r="H56" s="19" t="s">
        <v>830</v>
      </c>
      <c r="I56" s="18" t="s">
        <v>712</v>
      </c>
      <c r="J56" s="19" t="s">
        <v>790</v>
      </c>
      <c r="K56" s="20" t="s">
        <v>791</v>
      </c>
      <c r="L56" s="332"/>
      <c r="M56" s="333"/>
      <c r="N56" s="333"/>
      <c r="O56" s="15"/>
      <c r="P56" s="230">
        <f>SUM(L56:O56)</f>
        <v>0</v>
      </c>
      <c r="Q56" s="338"/>
      <c r="R56" s="295"/>
      <c r="S56" s="185"/>
    </row>
    <row r="57" spans="1:22" s="203" customFormat="1" ht="17.149999999999999" customHeight="1" thickBot="1" x14ac:dyDescent="0.3">
      <c r="B57" s="204" t="s">
        <v>831</v>
      </c>
      <c r="C57" s="205"/>
      <c r="D57" s="206"/>
      <c r="E57" s="206"/>
      <c r="F57" s="206"/>
      <c r="G57" s="206"/>
      <c r="H57" s="326"/>
      <c r="I57" s="209">
        <f>SUM(I58:I61)</f>
        <v>0</v>
      </c>
      <c r="J57" s="210">
        <f>SUM(J58:J61)</f>
        <v>0</v>
      </c>
      <c r="K57" s="211">
        <f>SUM(K58:K61)</f>
        <v>0</v>
      </c>
      <c r="L57" s="332"/>
      <c r="M57" s="333"/>
      <c r="N57" s="333"/>
      <c r="O57" s="15"/>
      <c r="P57" s="230">
        <f>SUM(L57:O57)</f>
        <v>0</v>
      </c>
      <c r="S57" s="185"/>
    </row>
    <row r="58" spans="1:22" s="203" customFormat="1" ht="17.149999999999999" customHeight="1" thickBot="1" x14ac:dyDescent="0.3">
      <c r="B58" s="328" t="s">
        <v>832</v>
      </c>
      <c r="C58" s="329" t="s">
        <v>391</v>
      </c>
      <c r="D58" s="330"/>
      <c r="E58" s="330"/>
      <c r="F58" s="330"/>
      <c r="G58" s="331"/>
      <c r="H58" s="223">
        <f>IF(D5="Composante",0,IF(OR(H4="Formation_courte",H4="VAE"),Paramétrage!S23/2,Paramétrage!S23))</f>
        <v>0</v>
      </c>
      <c r="I58" s="243">
        <f>H58*E8</f>
        <v>0</v>
      </c>
      <c r="J58" s="224">
        <v>0</v>
      </c>
      <c r="K58" s="225">
        <f>I58</f>
        <v>0</v>
      </c>
      <c r="L58" s="332"/>
      <c r="M58" s="333"/>
      <c r="N58" s="333"/>
      <c r="O58" s="15"/>
      <c r="P58" s="230">
        <f>SUM(L58:O58)</f>
        <v>0</v>
      </c>
      <c r="Q58" s="338"/>
      <c r="R58" s="295"/>
      <c r="S58" s="185"/>
      <c r="U58" s="185"/>
      <c r="V58" s="185"/>
    </row>
    <row r="59" spans="1:22" s="185" customFormat="1" ht="17.149999999999999" customHeight="1" thickBot="1" x14ac:dyDescent="0.3">
      <c r="B59" s="328" t="s">
        <v>833</v>
      </c>
      <c r="C59" s="335" t="s">
        <v>397</v>
      </c>
      <c r="D59" s="336"/>
      <c r="E59" s="336"/>
      <c r="F59" s="336"/>
      <c r="G59" s="337"/>
      <c r="H59" s="223">
        <f>IF(OR(H4="DU",H4="Formation_courte",H4="VAE"),MIN(Paramétrage!S24,Paramétrage!S24/500*'Recettes et simulat réel'!D28),Paramétrage!S24)</f>
        <v>0</v>
      </c>
      <c r="I59" s="243">
        <f>H59*$E$7</f>
        <v>0</v>
      </c>
      <c r="J59" s="224">
        <f>I59-K59</f>
        <v>0</v>
      </c>
      <c r="K59" s="225">
        <f>IF($E$7=0,0,I59/$E$7*$E$8)</f>
        <v>0</v>
      </c>
      <c r="L59" s="209">
        <f>SUM(L60:L62)</f>
        <v>0</v>
      </c>
      <c r="M59" s="208">
        <f>SUM(M60:M62)</f>
        <v>0</v>
      </c>
      <c r="N59" s="208">
        <f>SUM(N60:N62)</f>
        <v>0</v>
      </c>
      <c r="O59" s="209">
        <f>SUM(O60:O62)</f>
        <v>0</v>
      </c>
      <c r="P59" s="211">
        <f>SUM(P60:P62)</f>
        <v>0</v>
      </c>
      <c r="Q59" s="36"/>
      <c r="R59" s="295"/>
    </row>
    <row r="60" spans="1:22" s="185" customFormat="1" ht="17.149999999999999" customHeight="1" x14ac:dyDescent="0.25">
      <c r="B60" s="328" t="s">
        <v>834</v>
      </c>
      <c r="C60" s="190" t="s">
        <v>405</v>
      </c>
      <c r="D60" s="339"/>
      <c r="E60" s="339"/>
      <c r="F60" s="339"/>
      <c r="G60" s="339"/>
      <c r="H60" s="223">
        <f>IF(H4="DU",MIN(Paramétrage!S25,Paramétrage!S25/500*'Recettes et simulat réel'!D28),IF(H4="Formation_courte",0,Paramétrage!S25))</f>
        <v>0</v>
      </c>
      <c r="I60" s="243">
        <f>H60*$E$7</f>
        <v>0</v>
      </c>
      <c r="J60" s="224">
        <f>I60-K60</f>
        <v>0</v>
      </c>
      <c r="K60" s="225">
        <f>IF($E$7=0,0,I60/$E$7*$E$8)</f>
        <v>0</v>
      </c>
      <c r="L60" s="332"/>
      <c r="M60" s="333"/>
      <c r="N60" s="333"/>
      <c r="O60" s="15"/>
      <c r="P60" s="230">
        <f>SUM(L60:O60)</f>
        <v>0</v>
      </c>
      <c r="Q60" s="338"/>
      <c r="R60" s="147"/>
    </row>
    <row r="61" spans="1:22" s="185" customFormat="1" ht="17.149999999999999" customHeight="1" thickBot="1" x14ac:dyDescent="0.3">
      <c r="B61" s="328" t="s">
        <v>835</v>
      </c>
      <c r="C61" s="190" t="s">
        <v>413</v>
      </c>
      <c r="D61" s="339"/>
      <c r="E61" s="339"/>
      <c r="F61" s="339"/>
      <c r="G61" s="339"/>
      <c r="H61" s="223">
        <f>IF(H4="DU",MIN(Paramétrage!S26,Paramétrage!S26/500*'Recettes et simulat réel'!D28),IF(OR(H4="Formation_courte",H4="VAE"),0,Paramétrage!S26))</f>
        <v>0</v>
      </c>
      <c r="I61" s="243">
        <f>H61*$E$7</f>
        <v>0</v>
      </c>
      <c r="J61" s="224">
        <f>I61-K61</f>
        <v>0</v>
      </c>
      <c r="K61" s="225">
        <f>IF($E$7=0,0,I61/$E$7*$E$8)</f>
        <v>0</v>
      </c>
      <c r="L61" s="332"/>
      <c r="M61" s="333"/>
      <c r="N61" s="333"/>
      <c r="O61" s="15"/>
      <c r="P61" s="230">
        <f>SUM(L61:O61)</f>
        <v>0</v>
      </c>
      <c r="Q61" s="338"/>
      <c r="R61" s="295"/>
    </row>
    <row r="62" spans="1:22" s="185" customFormat="1" ht="17.149999999999999" customHeight="1" thickBot="1" x14ac:dyDescent="0.3">
      <c r="B62" s="204" t="s">
        <v>836</v>
      </c>
      <c r="C62" s="205"/>
      <c r="D62" s="206"/>
      <c r="E62" s="206"/>
      <c r="F62" s="206"/>
      <c r="G62" s="206"/>
      <c r="H62" s="312"/>
      <c r="I62" s="209">
        <f>SUM(I63:I65)</f>
        <v>0</v>
      </c>
      <c r="J62" s="210">
        <f>SUM(J63:J65)</f>
        <v>0</v>
      </c>
      <c r="K62" s="211">
        <f>SUM(K63:K65)</f>
        <v>0</v>
      </c>
      <c r="L62" s="332"/>
      <c r="M62" s="333"/>
      <c r="N62" s="333"/>
      <c r="O62" s="15"/>
      <c r="P62" s="230">
        <f>SUM(L62:O62)</f>
        <v>0</v>
      </c>
      <c r="Q62" s="338"/>
      <c r="R62" s="295"/>
    </row>
    <row r="63" spans="1:22" s="185" customFormat="1" ht="17.149999999999999" customHeight="1" thickBot="1" x14ac:dyDescent="0.3">
      <c r="B63" s="296" t="s">
        <v>837</v>
      </c>
      <c r="C63" s="297" t="s">
        <v>418</v>
      </c>
      <c r="D63" s="298"/>
      <c r="E63" s="298"/>
      <c r="F63" s="298"/>
      <c r="G63" s="298"/>
      <c r="H63" s="223">
        <f>IF(OR(H4="DU",H4="Formation_courte",H4="VAE"),MIN(Paramétrage!S27,Paramétrage!S27/500*'Recettes et simulat réel'!D28),Paramétrage!S27)</f>
        <v>0</v>
      </c>
      <c r="I63" s="243">
        <f>H63*$E$7</f>
        <v>0</v>
      </c>
      <c r="J63" s="224">
        <f>I63-K63</f>
        <v>0</v>
      </c>
      <c r="K63" s="225">
        <f>IF($E$7=0,0,I63/$E$7*$E$8)</f>
        <v>0</v>
      </c>
      <c r="L63" s="209">
        <f>L54+L59</f>
        <v>0</v>
      </c>
      <c r="M63" s="208">
        <f>M54+M59</f>
        <v>0</v>
      </c>
      <c r="N63" s="208">
        <f>N54+N59</f>
        <v>0</v>
      </c>
      <c r="O63" s="209">
        <f>O54+O59</f>
        <v>0</v>
      </c>
      <c r="P63" s="211">
        <f>P54+P59</f>
        <v>0</v>
      </c>
      <c r="U63" s="257"/>
    </row>
    <row r="64" spans="1:22" ht="17.149999999999999" customHeight="1" x14ac:dyDescent="0.25">
      <c r="A64" s="185"/>
      <c r="B64" s="296" t="s">
        <v>838</v>
      </c>
      <c r="C64" s="297" t="s">
        <v>424</v>
      </c>
      <c r="D64" s="298"/>
      <c r="E64" s="298"/>
      <c r="F64" s="298"/>
      <c r="G64" s="298"/>
      <c r="H64" s="223">
        <f>IF(OR(H4="DU",H4="Formation_courte",H4="VAE"),MIN(Paramétrage!S28,Paramétrage!S28/500*'Recettes et simulat réel'!D28),Paramétrage!S28)</f>
        <v>0</v>
      </c>
      <c r="I64" s="243">
        <f>H64*$E$7</f>
        <v>0</v>
      </c>
      <c r="J64" s="224">
        <f>I64-K64</f>
        <v>0</v>
      </c>
      <c r="K64" s="225">
        <f>IF($E$7=0,0,I64/$E$7*$E$8)</f>
        <v>0</v>
      </c>
      <c r="L64" s="266"/>
      <c r="M64" s="266"/>
      <c r="N64" s="266"/>
      <c r="O64" s="266"/>
      <c r="P64" s="266"/>
      <c r="U64" s="185"/>
      <c r="V64" s="185"/>
    </row>
    <row r="65" spans="2:24" s="185" customFormat="1" ht="17.149999999999999" customHeight="1" thickBot="1" x14ac:dyDescent="0.3">
      <c r="B65" s="296" t="s">
        <v>839</v>
      </c>
      <c r="C65" s="297" t="s">
        <v>840</v>
      </c>
      <c r="D65" s="298"/>
      <c r="E65" s="298"/>
      <c r="F65" s="298"/>
      <c r="G65" s="298"/>
      <c r="H65" s="223">
        <f>IF(H4="DU",MIN(Paramétrage!S29,Paramétrage!S29/500*'Recettes et simulat réel'!D28),IF(H4="Formation_courte",0,Paramétrage!S29))</f>
        <v>0</v>
      </c>
      <c r="I65" s="243">
        <f>H65*$E$7</f>
        <v>0</v>
      </c>
      <c r="J65" s="224">
        <f>I65-K65</f>
        <v>0</v>
      </c>
      <c r="K65" s="225">
        <f>IF($E$7=0,0,I65/$E$7*$E$8)</f>
        <v>0</v>
      </c>
      <c r="L65" s="346"/>
      <c r="M65" s="346"/>
      <c r="N65" s="346"/>
      <c r="O65" s="346"/>
      <c r="P65" s="346"/>
    </row>
    <row r="66" spans="2:24" s="185" customFormat="1" ht="17.149999999999999" customHeight="1" thickBot="1" x14ac:dyDescent="0.3">
      <c r="B66" s="204" t="s">
        <v>841</v>
      </c>
      <c r="C66" s="205"/>
      <c r="D66" s="206"/>
      <c r="E66" s="206"/>
      <c r="F66" s="206"/>
      <c r="G66" s="206"/>
      <c r="H66" s="312"/>
      <c r="I66" s="209">
        <f>I57+I62</f>
        <v>0</v>
      </c>
      <c r="J66" s="210">
        <f>J57+J62</f>
        <v>0</v>
      </c>
      <c r="K66" s="211">
        <f>K57+K62</f>
        <v>0</v>
      </c>
      <c r="L66" s="353">
        <f>L63+L51</f>
        <v>0</v>
      </c>
      <c r="M66" s="353">
        <f>M63+M51</f>
        <v>0</v>
      </c>
      <c r="N66" s="353">
        <f>N63+N51</f>
        <v>0</v>
      </c>
      <c r="O66" s="353">
        <f>O63+O51</f>
        <v>0</v>
      </c>
      <c r="P66" s="354">
        <f>P63+P51</f>
        <v>0</v>
      </c>
      <c r="Q66" s="213">
        <f>IF($K$79=0,0,K66/$K$79)</f>
        <v>0</v>
      </c>
      <c r="R66" s="340" t="s">
        <v>797</v>
      </c>
      <c r="S66" s="37">
        <f>IF((K66+K53)=0,0,K66/(K66+K53))</f>
        <v>0</v>
      </c>
      <c r="T66" s="214" t="s">
        <v>842</v>
      </c>
      <c r="U66" s="203"/>
      <c r="V66" s="203"/>
    </row>
    <row r="67" spans="2:24" s="203" customFormat="1" ht="17.149999999999999" customHeight="1" thickBot="1" x14ac:dyDescent="0.3">
      <c r="B67" s="317"/>
      <c r="C67" s="341"/>
      <c r="D67" s="341"/>
      <c r="E67" s="319"/>
      <c r="F67" s="319"/>
      <c r="G67" s="319"/>
      <c r="H67" s="189" t="s">
        <v>843</v>
      </c>
      <c r="I67" s="311">
        <f>IF(E7=0,0,I66/E7)</f>
        <v>0</v>
      </c>
      <c r="J67" s="311">
        <f>IF((E7-E8)=0,0,J66/(E7-E8))</f>
        <v>0</v>
      </c>
      <c r="K67" s="321">
        <f>IF(E8=0,0,K66/E8)</f>
        <v>0</v>
      </c>
      <c r="L67" s="38"/>
      <c r="M67" s="38"/>
      <c r="N67" s="38"/>
      <c r="O67" s="276"/>
      <c r="P67" s="276"/>
      <c r="Q67" s="185"/>
      <c r="R67" s="185"/>
      <c r="S67" s="185"/>
      <c r="T67" s="147"/>
    </row>
    <row r="68" spans="2:24" s="203" customFormat="1" ht="17.149999999999999" customHeight="1" thickBot="1" x14ac:dyDescent="0.3">
      <c r="B68" s="342"/>
      <c r="C68" s="343"/>
      <c r="D68" s="343"/>
      <c r="E68" s="343"/>
      <c r="F68" s="343"/>
      <c r="G68" s="343"/>
      <c r="H68" s="343"/>
      <c r="I68" s="344"/>
      <c r="J68" s="344"/>
      <c r="K68" s="345"/>
      <c r="L68" s="303" t="e">
        <f>IF(#REF!=0,0,L66/#REF!)</f>
        <v>#REF!</v>
      </c>
      <c r="M68" s="303" t="e">
        <f>IF(#REF!=0,0,M66/#REF!)</f>
        <v>#REF!</v>
      </c>
      <c r="N68" s="303" t="e">
        <f>IF(#REF!=0,0,N66/#REF!)</f>
        <v>#REF!</v>
      </c>
      <c r="O68" s="303" t="e">
        <f>IF(#REF!=0,0,O66/#REF!)</f>
        <v>#REF!</v>
      </c>
      <c r="P68" s="364" t="e">
        <f>IF(#REF!=0,0,P66/#REF!)</f>
        <v>#REF!</v>
      </c>
      <c r="Q68" s="347"/>
      <c r="R68" s="12"/>
      <c r="S68" s="185"/>
      <c r="T68" s="185"/>
      <c r="U68" s="185"/>
      <c r="V68" s="185"/>
    </row>
    <row r="69" spans="2:24" ht="24.65" customHeight="1" thickBot="1" x14ac:dyDescent="0.3">
      <c r="B69" s="348" t="s">
        <v>844</v>
      </c>
      <c r="C69" s="348"/>
      <c r="D69" s="349"/>
      <c r="E69" s="350"/>
      <c r="F69" s="349"/>
      <c r="G69" s="351"/>
      <c r="H69" s="352"/>
      <c r="I69" s="353">
        <f>I66+I53</f>
        <v>0</v>
      </c>
      <c r="J69" s="353">
        <f>J66+J53</f>
        <v>0</v>
      </c>
      <c r="K69" s="354">
        <f>K66+K53</f>
        <v>0</v>
      </c>
      <c r="L69" s="185"/>
      <c r="M69" s="185"/>
      <c r="N69" s="185"/>
      <c r="O69" s="185"/>
      <c r="P69" s="185"/>
      <c r="Q69" s="213">
        <f>IF($K$79=0,0,K69/$K$79)</f>
        <v>0</v>
      </c>
      <c r="R69" s="214" t="s">
        <v>797</v>
      </c>
      <c r="S69" s="185"/>
      <c r="T69" s="185"/>
      <c r="U69" s="12"/>
      <c r="V69" s="185"/>
      <c r="W69" s="185"/>
      <c r="X69" s="185"/>
    </row>
    <row r="70" spans="2:24" ht="24.4" customHeight="1" thickBot="1" x14ac:dyDescent="0.3">
      <c r="B70" s="355"/>
      <c r="C70" s="330"/>
      <c r="D70" s="356"/>
      <c r="E70" s="356"/>
      <c r="F70" s="356"/>
      <c r="G70" s="357"/>
      <c r="H70" s="357" t="s">
        <v>845</v>
      </c>
      <c r="I70" s="358">
        <f>IF(E7=0,0,I69/$E$7)</f>
        <v>0</v>
      </c>
      <c r="J70" s="359">
        <f>IF(($E$7-$E$8)=0,0,J69/($E$7-$E$8))</f>
        <v>0</v>
      </c>
      <c r="K70" s="360">
        <f>IF(E8=0,0,K69/$E$8)</f>
        <v>0</v>
      </c>
      <c r="L70" s="195"/>
      <c r="M70" s="196"/>
      <c r="N70" s="196"/>
      <c r="O70" s="196"/>
      <c r="P70" s="197"/>
      <c r="Q70" s="12"/>
      <c r="R70" s="12"/>
      <c r="S70" s="185"/>
      <c r="T70" s="12"/>
      <c r="U70" s="185"/>
      <c r="V70" s="185"/>
      <c r="W70" s="185"/>
      <c r="X70" s="185"/>
    </row>
    <row r="71" spans="2:24" ht="13.5" customHeight="1" thickBot="1" x14ac:dyDescent="0.3">
      <c r="B71" s="258"/>
      <c r="C71" s="361"/>
      <c r="D71" s="362"/>
      <c r="E71" s="362"/>
      <c r="F71" s="362"/>
      <c r="G71" s="363"/>
      <c r="H71" s="363" t="s">
        <v>846</v>
      </c>
      <c r="I71" s="303">
        <f>IF('Contrôles SCFC'!I11=0,0,I69/'Contrôles SCFC'!I11)</f>
        <v>0</v>
      </c>
      <c r="J71" s="303">
        <f>IF('Contrôles SCFC'!J11=0,0,J69/'Contrôles SCFC'!J11)</f>
        <v>0</v>
      </c>
      <c r="K71" s="303">
        <f>IF('Contrôles SCFC'!K11=0,0,K69/'Contrôles SCFC'!K11)</f>
        <v>0</v>
      </c>
      <c r="L71" s="41"/>
      <c r="M71" s="41"/>
      <c r="N71" s="41"/>
      <c r="O71" s="41"/>
      <c r="P71" s="41"/>
      <c r="Q71" s="13"/>
      <c r="R71" s="12"/>
      <c r="S71" s="185"/>
      <c r="T71" s="185"/>
      <c r="U71" s="12"/>
      <c r="V71" s="12"/>
      <c r="W71" s="185"/>
      <c r="X71" s="185"/>
    </row>
    <row r="72" spans="2:24" s="12" customFormat="1" ht="24.65" customHeight="1" thickBot="1" x14ac:dyDescent="0.3">
      <c r="B72" s="366"/>
      <c r="C72" s="366"/>
      <c r="D72" s="366"/>
      <c r="E72" s="366"/>
      <c r="F72" s="185"/>
      <c r="G72" s="185"/>
      <c r="H72" s="185"/>
      <c r="I72" s="185"/>
      <c r="J72" s="185"/>
      <c r="K72" s="185"/>
      <c r="L72" s="34" t="s">
        <v>792</v>
      </c>
      <c r="M72" s="18" t="s">
        <v>793</v>
      </c>
      <c r="N72" s="18" t="s">
        <v>794</v>
      </c>
      <c r="O72" s="44" t="s">
        <v>795</v>
      </c>
      <c r="P72" s="45" t="s">
        <v>147</v>
      </c>
      <c r="Q72" s="35"/>
      <c r="R72" s="35"/>
      <c r="U72" s="185"/>
      <c r="V72" s="185"/>
    </row>
    <row r="73" spans="2:24" ht="24.65" customHeight="1" thickBot="1" x14ac:dyDescent="0.3">
      <c r="B73" s="879" t="s">
        <v>847</v>
      </c>
      <c r="C73" s="880"/>
      <c r="D73" s="880"/>
      <c r="E73" s="880"/>
      <c r="F73" s="880"/>
      <c r="G73" s="880"/>
      <c r="H73" s="880"/>
      <c r="I73" s="880"/>
      <c r="J73" s="880"/>
      <c r="K73" s="881"/>
      <c r="L73" s="290"/>
      <c r="M73" s="291"/>
      <c r="N73" s="373"/>
      <c r="O73" s="373"/>
      <c r="P73" s="293">
        <f>SUM(L73:O73)</f>
        <v>0</v>
      </c>
      <c r="Q73" s="12"/>
      <c r="R73" s="12"/>
      <c r="S73" s="185"/>
      <c r="T73" s="185"/>
      <c r="U73" s="185"/>
      <c r="V73" s="185"/>
      <c r="W73" s="185"/>
      <c r="X73" s="12"/>
    </row>
    <row r="74" spans="2:24" ht="13.5" customHeight="1" thickBot="1" x14ac:dyDescent="0.3">
      <c r="B74" s="368"/>
      <c r="C74" s="185"/>
      <c r="D74" s="185"/>
      <c r="E74" s="185"/>
      <c r="F74" s="185"/>
      <c r="G74" s="185"/>
      <c r="H74" s="186"/>
      <c r="I74" s="39"/>
      <c r="J74" s="39"/>
      <c r="K74" s="40"/>
      <c r="L74" s="304"/>
      <c r="M74" s="305"/>
      <c r="N74" s="305"/>
      <c r="O74" s="379"/>
      <c r="P74" s="307">
        <f>SUM(L74:O74)</f>
        <v>0</v>
      </c>
      <c r="Q74" s="12"/>
      <c r="R74" s="12"/>
      <c r="S74" s="185"/>
      <c r="T74" s="185"/>
      <c r="U74" s="185"/>
      <c r="V74" s="185"/>
      <c r="W74" s="185"/>
      <c r="X74" s="12"/>
    </row>
    <row r="75" spans="2:24" ht="26.5" thickBot="1" x14ac:dyDescent="0.3">
      <c r="B75" s="323" t="s">
        <v>848</v>
      </c>
      <c r="C75" s="324" t="s">
        <v>849</v>
      </c>
      <c r="D75" s="325"/>
      <c r="E75" s="325"/>
      <c r="F75" s="325"/>
      <c r="G75" s="325"/>
      <c r="H75" s="42"/>
      <c r="I75" s="43" t="s">
        <v>712</v>
      </c>
      <c r="J75" s="19" t="s">
        <v>850</v>
      </c>
      <c r="K75" s="20" t="s">
        <v>851</v>
      </c>
      <c r="L75" s="383"/>
      <c r="M75" s="383"/>
      <c r="N75" s="383"/>
      <c r="O75" s="383"/>
      <c r="P75" s="383"/>
      <c r="Q75" s="385"/>
      <c r="R75" s="385"/>
      <c r="S75" s="386"/>
      <c r="T75" s="185"/>
      <c r="U75" s="185"/>
      <c r="V75" s="185"/>
      <c r="W75" s="185"/>
      <c r="X75" s="12"/>
    </row>
    <row r="76" spans="2:24" s="185" customFormat="1" ht="17.149999999999999" customHeight="1" thickBot="1" x14ac:dyDescent="0.3">
      <c r="B76" s="285" t="s">
        <v>852</v>
      </c>
      <c r="C76" s="329" t="s">
        <v>853</v>
      </c>
      <c r="D76" s="369"/>
      <c r="E76" s="369"/>
      <c r="F76" s="369"/>
      <c r="G76" s="369"/>
      <c r="H76" s="370"/>
      <c r="I76" s="371">
        <f>J76+K76</f>
        <v>0</v>
      </c>
      <c r="J76" s="371">
        <f>'Recettes et simulat réel'!H16</f>
        <v>0</v>
      </c>
      <c r="K76" s="372">
        <f>Formulaire!C27+Formulaire!C28+Formulaire!C29</f>
        <v>0</v>
      </c>
      <c r="L76" s="353">
        <f>L73+L74</f>
        <v>0</v>
      </c>
      <c r="M76" s="353">
        <f>M73+M74</f>
        <v>0</v>
      </c>
      <c r="N76" s="353">
        <f>N73+N74</f>
        <v>0</v>
      </c>
      <c r="O76" s="353">
        <f>O73+O74</f>
        <v>0</v>
      </c>
      <c r="P76" s="354">
        <f>P73+P74</f>
        <v>0</v>
      </c>
      <c r="U76" s="203"/>
      <c r="V76" s="203"/>
      <c r="X76" s="12"/>
    </row>
    <row r="77" spans="2:24" s="203" customFormat="1" ht="17.149999999999999" customHeight="1" thickBot="1" x14ac:dyDescent="0.3">
      <c r="B77" s="301" t="s">
        <v>854</v>
      </c>
      <c r="C77" s="302" t="s">
        <v>855</v>
      </c>
      <c r="D77" s="374"/>
      <c r="E77" s="374"/>
      <c r="F77" s="374"/>
      <c r="G77" s="374"/>
      <c r="H77" s="375"/>
      <c r="I77" s="376">
        <f>J77+K77</f>
        <v>0</v>
      </c>
      <c r="J77" s="377"/>
      <c r="K77" s="378">
        <f>Formulaire!E27-'Budget détaillé réel'!K76</f>
        <v>0</v>
      </c>
      <c r="L77" s="38"/>
      <c r="M77" s="38"/>
      <c r="N77" s="38"/>
      <c r="O77" s="276"/>
      <c r="P77" s="276"/>
      <c r="Q77" s="338"/>
      <c r="R77" s="295"/>
      <c r="S77" s="185"/>
    </row>
    <row r="78" spans="2:24" s="185" customFormat="1" ht="13.5" thickBot="1" x14ac:dyDescent="0.3">
      <c r="B78" s="380"/>
      <c r="C78" s="381"/>
      <c r="D78" s="382"/>
      <c r="E78" s="381"/>
      <c r="F78" s="382"/>
      <c r="G78" s="382"/>
      <c r="H78" s="382"/>
      <c r="I78" s="383"/>
      <c r="J78" s="383"/>
      <c r="K78" s="384"/>
      <c r="L78" s="391"/>
      <c r="M78" s="391"/>
      <c r="N78" s="391"/>
      <c r="O78" s="391"/>
      <c r="P78" s="391"/>
      <c r="Q78" s="257"/>
      <c r="R78" s="12"/>
    </row>
    <row r="79" spans="2:24" s="185" customFormat="1" ht="24.4" customHeight="1" thickBot="1" x14ac:dyDescent="0.3">
      <c r="B79" s="348" t="s">
        <v>856</v>
      </c>
      <c r="C79" s="348"/>
      <c r="D79" s="349"/>
      <c r="E79" s="350"/>
      <c r="F79" s="349"/>
      <c r="G79" s="351"/>
      <c r="H79" s="352"/>
      <c r="I79" s="353">
        <f>I76+I77</f>
        <v>0</v>
      </c>
      <c r="J79" s="353">
        <f>J76+J77</f>
        <v>0</v>
      </c>
      <c r="K79" s="354">
        <f>K76+K77</f>
        <v>0</v>
      </c>
      <c r="L79" s="353">
        <f>L76-L66</f>
        <v>0</v>
      </c>
      <c r="M79" s="353">
        <f>M76-M66</f>
        <v>0</v>
      </c>
      <c r="N79" s="353">
        <f>N76-N66</f>
        <v>0</v>
      </c>
      <c r="O79" s="353">
        <f>O76-O66</f>
        <v>0</v>
      </c>
      <c r="P79" s="354">
        <f>P76-P66</f>
        <v>0</v>
      </c>
      <c r="U79" s="203"/>
      <c r="V79" s="203"/>
      <c r="X79" s="12"/>
    </row>
    <row r="80" spans="2:24" ht="13.5" thickBot="1" x14ac:dyDescent="0.3">
      <c r="B80" s="317"/>
      <c r="C80" s="341"/>
      <c r="D80" s="387"/>
      <c r="E80" s="387"/>
      <c r="F80" s="387"/>
      <c r="G80" s="388"/>
      <c r="H80" s="388" t="s">
        <v>857</v>
      </c>
      <c r="I80" s="389"/>
      <c r="J80" s="389"/>
      <c r="K80" s="390">
        <f>IF(E8=0,0,K79/$E$8)</f>
        <v>0</v>
      </c>
    </row>
    <row r="81" spans="2:18" ht="24.65" customHeight="1" thickBot="1" x14ac:dyDescent="0.3">
      <c r="B81" s="185"/>
      <c r="C81" s="366"/>
      <c r="D81" s="366"/>
      <c r="E81" s="366"/>
      <c r="F81" s="366"/>
      <c r="G81" s="366"/>
      <c r="H81" s="366"/>
      <c r="I81" s="391"/>
      <c r="J81" s="391"/>
      <c r="K81" s="391"/>
    </row>
    <row r="82" spans="2:18" ht="24.65" customHeight="1" thickBot="1" x14ac:dyDescent="0.3">
      <c r="B82" s="348" t="s">
        <v>858</v>
      </c>
      <c r="C82" s="348"/>
      <c r="D82" s="349"/>
      <c r="E82" s="350"/>
      <c r="F82" s="349"/>
      <c r="G82" s="351"/>
      <c r="H82" s="352"/>
      <c r="I82" s="353">
        <f>I79-I69</f>
        <v>0</v>
      </c>
      <c r="J82" s="353">
        <f>J79-J69</f>
        <v>0</v>
      </c>
      <c r="K82" s="354">
        <f>K79-K69</f>
        <v>0</v>
      </c>
      <c r="Q82" s="213">
        <f>IF($K$79=0,0,K82/$K$79)</f>
        <v>0</v>
      </c>
      <c r="R82" s="214" t="s">
        <v>797</v>
      </c>
    </row>
    <row r="83" spans="2:18" ht="13" thickBot="1" x14ac:dyDescent="0.3"/>
    <row r="84" spans="2:18" ht="22.5" customHeight="1" thickBot="1" x14ac:dyDescent="0.3">
      <c r="B84" s="399" t="s">
        <v>859</v>
      </c>
      <c r="C84" s="396"/>
      <c r="D84" s="397"/>
      <c r="E84" s="397"/>
      <c r="F84" s="397"/>
      <c r="G84" s="397"/>
      <c r="H84" s="397"/>
      <c r="I84" s="398">
        <f>'Excédent mobilisable réel'!I55</f>
        <v>0</v>
      </c>
    </row>
    <row r="85" spans="2:18" ht="13" thickBot="1" x14ac:dyDescent="0.3"/>
    <row r="86" spans="2:18" ht="24.65" customHeight="1" thickBot="1" x14ac:dyDescent="0.3">
      <c r="B86" s="348" t="s">
        <v>860</v>
      </c>
      <c r="C86" s="348"/>
      <c r="D86" s="349"/>
      <c r="E86" s="350"/>
      <c r="F86" s="349"/>
      <c r="G86" s="351"/>
      <c r="H86" s="352"/>
      <c r="I86" s="353">
        <f>I79-I69+I84</f>
        <v>0</v>
      </c>
      <c r="J86" s="353">
        <f>J79-J69+I84</f>
        <v>0</v>
      </c>
      <c r="K86" s="354">
        <f>K79-K69</f>
        <v>0</v>
      </c>
      <c r="L86" s="353">
        <f>L81-L71</f>
        <v>0</v>
      </c>
      <c r="M86" s="353">
        <f>M81-M71</f>
        <v>0</v>
      </c>
      <c r="N86" s="353">
        <f>N81-N71</f>
        <v>0</v>
      </c>
      <c r="O86" s="353">
        <f>O81-O71</f>
        <v>0</v>
      </c>
      <c r="P86" s="354">
        <f>P81-P71</f>
        <v>0</v>
      </c>
      <c r="Q86" s="213">
        <f>IF($K$79=0,0,K86/$K$79)</f>
        <v>0</v>
      </c>
      <c r="R86" s="214" t="s">
        <v>797</v>
      </c>
    </row>
  </sheetData>
  <sheetProtection algorithmName="SHA-512" hashValue="enuLziNzyVKRxQrMDKwfkO+JKLFObp7KflMobmpP+2VJeelWOMEg6rdv6ZkEINnRpCqMVIPoJeBmuPLih69ifQ==" saltValue="AG2EJsp2mSHXwz4ihdKDjQ==" spinCount="100000" sheet="1" objects="1" scenarios="1"/>
  <mergeCells count="32">
    <mergeCell ref="C35:F35"/>
    <mergeCell ref="B73:K73"/>
    <mergeCell ref="C24:F24"/>
    <mergeCell ref="C25:F25"/>
    <mergeCell ref="B26:F26"/>
    <mergeCell ref="C28:F28"/>
    <mergeCell ref="C29:F29"/>
    <mergeCell ref="B31:F31"/>
    <mergeCell ref="C36:F36"/>
    <mergeCell ref="C37:F37"/>
    <mergeCell ref="C39:F39"/>
    <mergeCell ref="C38:F38"/>
    <mergeCell ref="C23:F23"/>
    <mergeCell ref="D6:E6"/>
    <mergeCell ref="H6:K6"/>
    <mergeCell ref="H7:K7"/>
    <mergeCell ref="B10:K10"/>
    <mergeCell ref="C12:F12"/>
    <mergeCell ref="C15:F15"/>
    <mergeCell ref="C16:F16"/>
    <mergeCell ref="C17:F17"/>
    <mergeCell ref="C18:F18"/>
    <mergeCell ref="B19:F19"/>
    <mergeCell ref="C22:F22"/>
    <mergeCell ref="I8:K8"/>
    <mergeCell ref="B2:K2"/>
    <mergeCell ref="L2:P2"/>
    <mergeCell ref="D4:E4"/>
    <mergeCell ref="H4:K4"/>
    <mergeCell ref="D5:E5"/>
    <mergeCell ref="H5:K5"/>
    <mergeCell ref="C4:C5"/>
  </mergeCells>
  <phoneticPr fontId="50" type="noConversion"/>
  <printOptions horizontalCentered="1" verticalCentered="1"/>
  <pageMargins left="0.25" right="0.25" top="0.75" bottom="0.75" header="0.3" footer="0.3"/>
  <pageSetup paperSize="8" scale="56" orientation="portrait" r:id="rId1"/>
  <headerFooter alignWithMargins="0"/>
  <ignoredErrors>
    <ignoredError sqref="I43:I47" unlockedFormula="1"/>
  </ignoredErrors>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B7883798A9BA4244B5FA0C3D619B8538" ma:contentTypeVersion="2" ma:contentTypeDescription="Crée un document." ma:contentTypeScope="" ma:versionID="47807cc1cb2c9e4c12a887f09046726a">
  <xsd:schema xmlns:xsd="http://www.w3.org/2001/XMLSchema" xmlns:xs="http://www.w3.org/2001/XMLSchema" xmlns:p="http://schemas.microsoft.com/office/2006/metadata/properties" xmlns:ns2="c5b0bad3-fadf-479e-9086-aac596ec4e1f" targetNamespace="http://schemas.microsoft.com/office/2006/metadata/properties" ma:root="true" ma:fieldsID="e55d3002b07b04eeb3e4f4f9820ca6cc" ns2:_="">
    <xsd:import namespace="c5b0bad3-fadf-479e-9086-aac596ec4e1f"/>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5b0bad3-fadf-479e-9086-aac596ec4e1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BD73C351-4063-4F52-AEE7-F4B861993FDF}">
  <ds:schemaRefs>
    <ds:schemaRef ds:uri="http://schemas.microsoft.com/sharepoint/v3/contenttype/forms"/>
  </ds:schemaRefs>
</ds:datastoreItem>
</file>

<file path=customXml/itemProps2.xml><?xml version="1.0" encoding="utf-8"?>
<ds:datastoreItem xmlns:ds="http://schemas.openxmlformats.org/officeDocument/2006/customXml" ds:itemID="{21BF02B6-12E8-4D75-A7FD-1FDF6D9A19E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5b0bad3-fadf-479e-9086-aac596ec4e1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A98E34E-358E-443D-9A1B-BBAABD47E4EF}">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13</vt:i4>
      </vt:variant>
      <vt:variant>
        <vt:lpstr>Plages nommées</vt:lpstr>
      </vt:variant>
      <vt:variant>
        <vt:i4>64</vt:i4>
      </vt:variant>
    </vt:vector>
  </HeadingPairs>
  <TitlesOfParts>
    <vt:vector size="77" baseType="lpstr">
      <vt:lpstr>ALIRE</vt:lpstr>
      <vt:lpstr>Formulaire</vt:lpstr>
      <vt:lpstr>Enseignement</vt:lpstr>
      <vt:lpstr>Paramétrage</vt:lpstr>
      <vt:lpstr>calcul heures</vt:lpstr>
      <vt:lpstr>Recettes et simulat prev</vt:lpstr>
      <vt:lpstr>Recettes et simulat réel</vt:lpstr>
      <vt:lpstr>Budget détaillé prev</vt:lpstr>
      <vt:lpstr>Budget détaillé réel</vt:lpstr>
      <vt:lpstr>Excédent mobilisable prev</vt:lpstr>
      <vt:lpstr>Excédent mobilisable réel</vt:lpstr>
      <vt:lpstr>comparatif simplifié</vt:lpstr>
      <vt:lpstr>Contrôles SCFC</vt:lpstr>
      <vt:lpstr>BUTIUT</vt:lpstr>
      <vt:lpstr>composante</vt:lpstr>
      <vt:lpstr>diplôme</vt:lpstr>
      <vt:lpstr>DU</vt:lpstr>
      <vt:lpstr>DUASSP</vt:lpstr>
      <vt:lpstr>DUCIEF</vt:lpstr>
      <vt:lpstr>DUDROIT</vt:lpstr>
      <vt:lpstr>DUICOM</vt:lpstr>
      <vt:lpstr>DUIETL</vt:lpstr>
      <vt:lpstr>DUIPsyL</vt:lpstr>
      <vt:lpstr>DUIUT</vt:lpstr>
      <vt:lpstr>DULANGUES</vt:lpstr>
      <vt:lpstr>DULESLA</vt:lpstr>
      <vt:lpstr>DUSEG</vt:lpstr>
      <vt:lpstr>DUTT</vt:lpstr>
      <vt:lpstr>FCIPsyL</vt:lpstr>
      <vt:lpstr>Formation</vt:lpstr>
      <vt:lpstr>Formation_courte</vt:lpstr>
      <vt:lpstr>Formation_courteCIEF</vt:lpstr>
      <vt:lpstr>Formation_courteDROIT</vt:lpstr>
      <vt:lpstr>Formation_courteICOM</vt:lpstr>
      <vt:lpstr>Formation_courteIPsyL</vt:lpstr>
      <vt:lpstr>Formation_courteLANGUES</vt:lpstr>
      <vt:lpstr>Formation_courteLESLA</vt:lpstr>
      <vt:lpstr>Licence</vt:lpstr>
      <vt:lpstr>LicenceIPsyL</vt:lpstr>
      <vt:lpstr>LicenceISPEF</vt:lpstr>
      <vt:lpstr>LicenceLANGUES</vt:lpstr>
      <vt:lpstr>LicenceSEG</vt:lpstr>
      <vt:lpstr>LP</vt:lpstr>
      <vt:lpstr>LPDROIT</vt:lpstr>
      <vt:lpstr>LPICOM</vt:lpstr>
      <vt:lpstr>LPIETL</vt:lpstr>
      <vt:lpstr>LPISPEF</vt:lpstr>
      <vt:lpstr>LPIUT</vt:lpstr>
      <vt:lpstr>LPLANGUES</vt:lpstr>
      <vt:lpstr>LPSEG</vt:lpstr>
      <vt:lpstr>LPTT</vt:lpstr>
      <vt:lpstr>Master</vt:lpstr>
      <vt:lpstr>MASTERASSP</vt:lpstr>
      <vt:lpstr>MASTERDROIT</vt:lpstr>
      <vt:lpstr>MASTERICOM</vt:lpstr>
      <vt:lpstr>MASTERIETL</vt:lpstr>
      <vt:lpstr>MASTERIPsyL</vt:lpstr>
      <vt:lpstr>MASTERISPEF</vt:lpstr>
      <vt:lpstr>MASTERIUT</vt:lpstr>
      <vt:lpstr>MASTERLANGUES</vt:lpstr>
      <vt:lpstr>MASTERLESLA</vt:lpstr>
      <vt:lpstr>MASTERSEG</vt:lpstr>
      <vt:lpstr>MASTERTT</vt:lpstr>
      <vt:lpstr>VAEASSP</vt:lpstr>
      <vt:lpstr>VAEDROIT</vt:lpstr>
      <vt:lpstr>VAEICOM</vt:lpstr>
      <vt:lpstr>VAEIETL</vt:lpstr>
      <vt:lpstr>VAEIPsyL</vt:lpstr>
      <vt:lpstr>VAEISPEF</vt:lpstr>
      <vt:lpstr>VAEIUT</vt:lpstr>
      <vt:lpstr>VAELANGUES</vt:lpstr>
      <vt:lpstr>VAELESLA</vt:lpstr>
      <vt:lpstr>VAESEG</vt:lpstr>
      <vt:lpstr>VAETT</vt:lpstr>
      <vt:lpstr>'calcul heures'!Zone_d_impression</vt:lpstr>
      <vt:lpstr>Formulaire!Zone_d_impression</vt:lpstr>
      <vt:lpstr>Paramétrage!Zone_d_impression</vt:lpstr>
    </vt:vector>
  </TitlesOfParts>
  <Manager/>
  <Company>R.R.A.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Agathe Valley;Emmanuelle Gery</dc:creator>
  <cp:keywords/>
  <dc:description/>
  <cp:lastModifiedBy>Doumergue Marjolaine</cp:lastModifiedBy>
  <cp:revision/>
  <dcterms:created xsi:type="dcterms:W3CDTF">2001-05-25T13:39:11Z</dcterms:created>
  <dcterms:modified xsi:type="dcterms:W3CDTF">2026-04-22T07:43:14Z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0x010100B7883798A9BA4244B5FA0C3D619B8538</vt:lpwstr>
  </property>
</Properties>
</file>