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vdesprat\Desktop\ACCREDITATION\SOUTENABILITE DE L'OFFRE\RETOURS OUTIL MAQUETTE\ICOM\MASTER ICOM\MATRICES FINANCIERES\"/>
    </mc:Choice>
  </mc:AlternateContent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3040" windowHeight="8616" activeTab="2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57" i="39" l="1"/>
  <c r="AC58" i="39"/>
  <c r="AC59" i="39"/>
  <c r="AC60" i="39"/>
  <c r="AC61" i="39"/>
  <c r="AC62" i="39"/>
  <c r="AC63" i="39"/>
  <c r="AC64" i="39"/>
  <c r="AC65" i="39"/>
  <c r="AC66" i="39"/>
  <c r="AC67" i="39"/>
  <c r="AC68" i="39"/>
  <c r="AC69" i="39"/>
  <c r="AC70" i="39"/>
  <c r="AC71" i="39"/>
  <c r="AC72" i="39"/>
  <c r="AC73" i="39"/>
  <c r="AC74" i="39"/>
  <c r="AC75" i="39"/>
  <c r="AC76" i="39"/>
  <c r="AC77" i="39"/>
  <c r="AC78" i="39"/>
  <c r="AC79" i="39"/>
  <c r="AC80" i="39"/>
  <c r="AC81" i="39"/>
  <c r="AC82" i="39"/>
  <c r="AC83" i="39"/>
  <c r="AC84" i="39"/>
  <c r="AC85" i="39"/>
  <c r="AC86" i="39"/>
  <c r="AC87" i="39"/>
  <c r="AC88" i="39"/>
  <c r="AD24" i="39"/>
  <c r="AD25" i="39"/>
  <c r="AD26" i="39"/>
  <c r="AD27" i="39"/>
  <c r="AD28" i="39"/>
  <c r="AC28" i="39" s="1"/>
  <c r="AD30" i="39"/>
  <c r="AC24" i="39"/>
  <c r="AC25" i="39"/>
  <c r="AC26" i="39"/>
  <c r="AC27" i="39"/>
  <c r="AC30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I21" i="39"/>
  <c r="AD21" i="39" s="1"/>
  <c r="I22" i="39"/>
  <c r="I23" i="39"/>
  <c r="AD23" i="39" s="1"/>
  <c r="AC23" i="39" s="1"/>
  <c r="I29" i="39"/>
  <c r="I31" i="39"/>
  <c r="AD31" i="39" s="1"/>
  <c r="AC31" i="39" s="1"/>
  <c r="AD29" i="39" l="1"/>
  <c r="AC29" i="39"/>
  <c r="AD22" i="39"/>
  <c r="AC22" i="39"/>
  <c r="I56" i="39"/>
  <c r="I53" i="39"/>
  <c r="I52" i="39"/>
  <c r="I15" i="39"/>
  <c r="I20" i="39"/>
  <c r="AD20" i="39" s="1"/>
  <c r="I19" i="39"/>
  <c r="I18" i="39"/>
  <c r="I17" i="39"/>
  <c r="I13" i="39"/>
  <c r="I12" i="39"/>
  <c r="I11" i="39"/>
  <c r="I16" i="39"/>
  <c r="I10" i="39"/>
  <c r="I9" i="39"/>
  <c r="I8" i="39"/>
  <c r="I49" i="39"/>
  <c r="I50" i="39"/>
  <c r="I14" i="39"/>
  <c r="I55" i="39"/>
  <c r="I54" i="39"/>
  <c r="I51" i="39"/>
  <c r="R54" i="39" l="1"/>
  <c r="AD17" i="39"/>
  <c r="AC17" i="39"/>
  <c r="AD18" i="39"/>
  <c r="AC18" i="39" s="1"/>
  <c r="AD19" i="39"/>
  <c r="AC19" i="39"/>
  <c r="AC20" i="39"/>
  <c r="AC21" i="39"/>
  <c r="R15" i="39"/>
  <c r="R53" i="39"/>
  <c r="R56" i="39"/>
  <c r="R26" i="41"/>
  <c r="R24" i="41"/>
  <c r="G19" i="41" l="1"/>
  <c r="G17" i="41"/>
  <c r="Q56" i="39" l="1"/>
  <c r="Q57" i="39"/>
  <c r="Q58" i="39"/>
  <c r="Q59" i="39"/>
  <c r="Q60" i="39"/>
  <c r="Q61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P58" i="39"/>
  <c r="P57" i="39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Q29" i="39" s="1"/>
  <c r="S29" i="39" s="1"/>
  <c r="U29" i="39" s="1"/>
  <c r="P28" i="39"/>
  <c r="Q28" i="39" s="1"/>
  <c r="S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P24" i="39"/>
  <c r="Q24" i="39" s="1"/>
  <c r="S24" i="39" s="1"/>
  <c r="P25" i="39"/>
  <c r="Q25" i="39" s="1"/>
  <c r="S25" i="39" s="1"/>
  <c r="P26" i="39"/>
  <c r="Q26" i="39" s="1"/>
  <c r="S26" i="39" s="1"/>
  <c r="P27" i="39"/>
  <c r="Q27" i="39" s="1"/>
  <c r="S27" i="39" s="1"/>
  <c r="P8" i="39"/>
  <c r="Q8" i="39" s="1"/>
  <c r="T8" i="39" s="1"/>
  <c r="S60" i="39"/>
  <c r="S59" i="39"/>
  <c r="S56" i="39"/>
  <c r="U56" i="39" s="1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61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Q50" i="39" l="1"/>
  <c r="S50" i="39" s="1"/>
  <c r="Q52" i="39"/>
  <c r="S52" i="39" s="1"/>
  <c r="U52" i="39" s="1"/>
  <c r="Q53" i="39"/>
  <c r="S53" i="39" s="1"/>
  <c r="Q54" i="39"/>
  <c r="Q22" i="39"/>
  <c r="S22" i="39" s="1"/>
  <c r="U22" i="39" s="1"/>
  <c r="Q55" i="39"/>
  <c r="S55" i="39" s="1"/>
  <c r="U55" i="39" s="1"/>
  <c r="Q51" i="39"/>
  <c r="S51" i="39" s="1"/>
  <c r="U51" i="39" s="1"/>
  <c r="Q20" i="39"/>
  <c r="S20" i="39" s="1"/>
  <c r="S19" i="39"/>
  <c r="W19" i="39" s="1"/>
  <c r="S18" i="39"/>
  <c r="U18" i="39" s="1"/>
  <c r="S10" i="39"/>
  <c r="S17" i="39"/>
  <c r="U17" i="39" s="1"/>
  <c r="S9" i="39"/>
  <c r="S16" i="39"/>
  <c r="W16" i="39" s="1"/>
  <c r="R23" i="41" s="1"/>
  <c r="S15" i="39"/>
  <c r="U15" i="39" s="1"/>
  <c r="W15" i="39" s="1"/>
  <c r="S14" i="39"/>
  <c r="U14" i="39" s="1"/>
  <c r="W14" i="39" s="1"/>
  <c r="R22" i="41" s="1"/>
  <c r="S13" i="39"/>
  <c r="U13" i="39" s="1"/>
  <c r="S49" i="39"/>
  <c r="W49" i="39" s="1"/>
  <c r="S12" i="39"/>
  <c r="W12" i="39" s="1"/>
  <c r="S11" i="39"/>
  <c r="S8" i="39"/>
  <c r="U50" i="39" l="1"/>
  <c r="W50" i="39" s="1"/>
  <c r="U53" i="39"/>
  <c r="W53" i="39" s="1"/>
  <c r="Q89" i="39"/>
  <c r="S54" i="39"/>
  <c r="U54" i="39" s="1"/>
  <c r="W54" i="39" s="1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O55" i="42"/>
  <c r="N55" i="42"/>
  <c r="M55" i="42"/>
  <c r="L55" i="42"/>
  <c r="P54" i="42"/>
  <c r="P53" i="42"/>
  <c r="P52" i="42"/>
  <c r="P51" i="42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N14" i="42" s="1"/>
  <c r="M20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P27" i="42" l="1"/>
  <c r="P50" i="42"/>
  <c r="P55" i="42"/>
  <c r="M14" i="42"/>
  <c r="R25" i="41"/>
  <c r="O14" i="42"/>
  <c r="L46" i="42"/>
  <c r="L62" i="42" s="1"/>
  <c r="L75" i="42" s="1"/>
  <c r="M46" i="42"/>
  <c r="M62" i="42" s="1"/>
  <c r="M75" i="42" s="1"/>
  <c r="O46" i="42"/>
  <c r="O62" i="42" s="1"/>
  <c r="O75" i="42" s="1"/>
  <c r="Q90" i="39"/>
  <c r="G32" i="42"/>
  <c r="I29" i="42"/>
  <c r="R29" i="42" s="1"/>
  <c r="P59" i="42"/>
  <c r="P32" i="42"/>
  <c r="N46" i="42"/>
  <c r="N62" i="42" s="1"/>
  <c r="N75" i="42" s="1"/>
  <c r="P35" i="42"/>
  <c r="P72" i="42"/>
  <c r="P20" i="42"/>
  <c r="L14" i="42"/>
  <c r="I35" i="42"/>
  <c r="I45" i="42" s="1"/>
  <c r="P46" i="42"/>
  <c r="P62" i="42" s="1"/>
  <c r="P14" i="42" l="1"/>
  <c r="S29" i="42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E7" i="40" s="1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G20" i="40"/>
  <c r="J20" i="40" s="1"/>
  <c r="G19" i="40"/>
  <c r="J19" i="40" s="1"/>
  <c r="G18" i="40"/>
  <c r="S58" i="39" l="1"/>
  <c r="G28" i="40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48" i="39" l="1"/>
  <c r="S23" i="39"/>
  <c r="W23" i="39" s="1"/>
  <c r="R89" i="39"/>
  <c r="S57" i="39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P62" i="41" l="1"/>
  <c r="P75" i="41" s="1"/>
  <c r="R90" i="39"/>
  <c r="S89" i="39"/>
  <c r="J36" i="4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S90" i="39" l="1"/>
  <c r="K35" i="42"/>
  <c r="K45" i="42" s="1"/>
  <c r="K72" i="41"/>
  <c r="K73" i="41" s="1"/>
  <c r="J51" i="41"/>
  <c r="J51" i="42" s="1"/>
  <c r="J35" i="42"/>
  <c r="J45" i="42" s="1"/>
  <c r="J35" i="41"/>
  <c r="J45" i="41" s="1"/>
  <c r="Q35" i="41" l="1"/>
  <c r="Q35" i="42"/>
  <c r="AD84" i="39"/>
  <c r="T84" i="39"/>
  <c r="AD83" i="39"/>
  <c r="T83" i="39"/>
  <c r="AD82" i="39"/>
  <c r="T82" i="39"/>
  <c r="AD81" i="39"/>
  <c r="T81" i="39"/>
  <c r="AD80" i="39"/>
  <c r="T80" i="39"/>
  <c r="AD79" i="39"/>
  <c r="T79" i="39"/>
  <c r="AD78" i="39"/>
  <c r="T78" i="39"/>
  <c r="AD77" i="39"/>
  <c r="T77" i="39"/>
  <c r="AD76" i="39"/>
  <c r="T76" i="39"/>
  <c r="AD75" i="39"/>
  <c r="T75" i="39"/>
  <c r="AD74" i="39"/>
  <c r="T74" i="39"/>
  <c r="AD73" i="39"/>
  <c r="T73" i="39"/>
  <c r="AD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T58" i="39"/>
  <c r="Y58" i="39" s="1"/>
  <c r="AD58" i="39"/>
  <c r="T59" i="39"/>
  <c r="Y59" i="39" s="1"/>
  <c r="AD59" i="39"/>
  <c r="T60" i="39"/>
  <c r="AD60" i="39"/>
  <c r="T61" i="39"/>
  <c r="AD61" i="39"/>
  <c r="T62" i="39"/>
  <c r="AD62" i="39"/>
  <c r="AD34" i="39"/>
  <c r="T34" i="39"/>
  <c r="AD33" i="39"/>
  <c r="T33" i="39"/>
  <c r="AD37" i="39"/>
  <c r="T37" i="39"/>
  <c r="AD36" i="39"/>
  <c r="T36" i="39"/>
  <c r="AD35" i="39"/>
  <c r="T35" i="39"/>
  <c r="AD32" i="39"/>
  <c r="T32" i="39"/>
  <c r="T31" i="39"/>
  <c r="T14" i="39"/>
  <c r="AD14" i="39"/>
  <c r="AC14" i="39" s="1"/>
  <c r="T15" i="39"/>
  <c r="AD15" i="39"/>
  <c r="AC15" i="39" s="1"/>
  <c r="T16" i="39"/>
  <c r="AD16" i="39"/>
  <c r="AC16" i="39" s="1"/>
  <c r="AD38" i="39"/>
  <c r="AD39" i="39"/>
  <c r="AD40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T23" i="39"/>
  <c r="T22" i="39"/>
  <c r="T21" i="39"/>
  <c r="T20" i="39"/>
  <c r="T19" i="39"/>
  <c r="T18" i="39"/>
  <c r="T17" i="39"/>
  <c r="T13" i="39"/>
  <c r="T12" i="39"/>
  <c r="K3" i="39" l="1"/>
  <c r="K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G22" i="41" s="1"/>
  <c r="H22" i="41" s="1"/>
  <c r="S22" i="41" s="1"/>
  <c r="Y22" i="39"/>
  <c r="G17" i="42" l="1"/>
  <c r="I17" i="42" s="1"/>
  <c r="I22" i="41"/>
  <c r="K22" i="41" s="1"/>
  <c r="V48" i="39"/>
  <c r="V7" i="39" s="1"/>
  <c r="G25" i="41"/>
  <c r="H25" i="41" s="1"/>
  <c r="Y18" i="39"/>
  <c r="H23" i="41"/>
  <c r="G23" i="42"/>
  <c r="H23" i="42" s="1"/>
  <c r="I23" i="42" s="1"/>
  <c r="K23" i="42" s="1"/>
  <c r="J23" i="42" s="1"/>
  <c r="Q23" i="42" s="1"/>
  <c r="V23" i="42" s="1"/>
  <c r="I23" i="41" l="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J22" i="41"/>
  <c r="R23" i="42"/>
  <c r="K17" i="41" l="1"/>
  <c r="J17" i="41" s="1"/>
  <c r="Q17" i="41"/>
  <c r="K25" i="41"/>
  <c r="J25" i="41" s="1"/>
  <c r="Q25" i="41" s="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D85" i="39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D88" i="39"/>
  <c r="AD87" i="39"/>
  <c r="AD70" i="39"/>
  <c r="AD69" i="39"/>
  <c r="R7" i="39"/>
  <c r="AD47" i="39"/>
  <c r="T47" i="39"/>
  <c r="AD46" i="39"/>
  <c r="T46" i="39"/>
  <c r="AD45" i="39"/>
  <c r="T45" i="39"/>
  <c r="AD44" i="39"/>
  <c r="T44" i="39"/>
  <c r="AD43" i="39"/>
  <c r="AD42" i="39"/>
  <c r="T27" i="39"/>
  <c r="T26" i="39"/>
  <c r="T25" i="39"/>
  <c r="T24" i="39"/>
  <c r="AD11" i="39"/>
  <c r="AC11" i="39" s="1"/>
  <c r="T11" i="39"/>
  <c r="AD10" i="39"/>
  <c r="AC10" i="39" s="1"/>
  <c r="W11" i="39" l="1"/>
  <c r="T71" i="39"/>
  <c r="T70" i="39"/>
  <c r="T69" i="39"/>
  <c r="AD49" i="39"/>
  <c r="AC49" i="39" s="1"/>
  <c r="G18" i="41" l="1"/>
  <c r="R18" i="41" s="1"/>
  <c r="S18" i="41" s="1"/>
  <c r="R15" i="41"/>
  <c r="W48" i="39"/>
  <c r="U11" i="39"/>
  <c r="T29" i="39"/>
  <c r="T63" i="39"/>
  <c r="AD50" i="39"/>
  <c r="AD8" i="39"/>
  <c r="AC8" i="39" s="1"/>
  <c r="AD9" i="39"/>
  <c r="AC9" i="39" s="1"/>
  <c r="AD89" i="39" l="1"/>
  <c r="AC50" i="39"/>
  <c r="S16" i="41"/>
  <c r="G16" i="41"/>
  <c r="Y11" i="39"/>
  <c r="I4" i="39"/>
  <c r="I3" i="39"/>
  <c r="D20" i="40" s="1"/>
  <c r="L3" i="39"/>
  <c r="L4" i="39"/>
  <c r="AD48" i="39"/>
  <c r="Q7" i="39"/>
  <c r="T28" i="39"/>
  <c r="H20" i="40" l="1"/>
  <c r="K20" i="40"/>
  <c r="D19" i="40"/>
  <c r="D18" i="40"/>
  <c r="H4" i="39"/>
  <c r="AC89" i="39"/>
  <c r="H89" i="39" s="1"/>
  <c r="J3" i="39"/>
  <c r="H3" i="39" s="1"/>
  <c r="AC48" i="39"/>
  <c r="H48" i="39" s="1"/>
  <c r="S7" i="39"/>
  <c r="T50" i="39"/>
  <c r="Y50" i="39" s="1"/>
  <c r="G24" i="41" s="1"/>
  <c r="T9" i="39"/>
  <c r="T49" i="39"/>
  <c r="H19" i="40" l="1"/>
  <c r="K19" i="40"/>
  <c r="H18" i="40"/>
  <c r="K18" i="40"/>
  <c r="H28" i="40"/>
  <c r="H24" i="41"/>
  <c r="G24" i="42"/>
  <c r="H24" i="42" s="1"/>
  <c r="I24" i="42" s="1"/>
  <c r="H90" i="39"/>
  <c r="W89" i="39"/>
  <c r="W7" i="39" s="1"/>
  <c r="Y49" i="39"/>
  <c r="T48" i="39"/>
  <c r="Y9" i="39"/>
  <c r="Y48" i="39" s="1"/>
  <c r="T89" i="39"/>
  <c r="J24" i="42" l="1"/>
  <c r="Q24" i="42" s="1"/>
  <c r="V24" i="42" s="1"/>
  <c r="T24" i="42"/>
  <c r="R24" i="42"/>
  <c r="U24" i="42"/>
  <c r="S24" i="42"/>
  <c r="S24" i="41"/>
  <c r="I24" i="41"/>
  <c r="J24" i="41" s="1"/>
  <c r="Q24" i="41" s="1"/>
  <c r="Y89" i="39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K26" i="41" l="1"/>
  <c r="K27" i="41" s="1"/>
  <c r="Q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6" i="41" l="1"/>
  <c r="J27" i="41" s="1"/>
  <c r="J20" i="4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I47" i="42"/>
  <c r="I62" i="42"/>
  <c r="I64" i="41"/>
  <c r="I75" i="41"/>
  <c r="I63" i="41"/>
  <c r="I33" i="42"/>
  <c r="K47" i="41"/>
  <c r="Q46" i="41"/>
  <c r="K62" i="41"/>
  <c r="S59" i="41"/>
  <c r="Q46" i="42" l="1"/>
  <c r="K62" i="42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>
  <authors>
    <author>Utilisateur Windows</author>
  </authors>
  <commentList>
    <comment ref="U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dont les 4 alternants obligatoirement</t>
        </r>
      </text>
    </comment>
  </commentList>
</comments>
</file>

<file path=xl/comments2.xml><?xml version="1.0" encoding="utf-8"?>
<comments xmlns="http://schemas.openxmlformats.org/spreadsheetml/2006/main">
  <authors>
    <author>Utilisateur Windows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402h avec possibilité de faire le voyage + hors les murs en plus (41h)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>
  <authors>
    <author>Utilisateur Windows</author>
    <author>Marielle Pierron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I38" authorId="1" shapeId="0">
      <text>
        <r>
          <rPr>
            <b/>
            <sz val="9"/>
            <color indexed="81"/>
            <rFont val="Tahoma"/>
            <family val="2"/>
          </rPr>
          <t>Marielle Pierron:</t>
        </r>
        <r>
          <rPr>
            <sz val="9"/>
            <color indexed="81"/>
            <rFont val="Tahoma"/>
            <family val="2"/>
          </rPr>
          <t xml:space="preserve">
séjour et sortie pédagogique
2023 : 3000€ 
</t>
        </r>
      </text>
    </comment>
    <comment ref="I39" authorId="1" shapeId="0">
      <text>
        <r>
          <rPr>
            <b/>
            <sz val="9"/>
            <color rgb="FF000000"/>
            <rFont val="Tahoma"/>
            <family val="2"/>
          </rPr>
          <t>Marielle Pierron: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adhésion association , prestation info</t>
        </r>
      </text>
    </comment>
    <comment ref="I40" authorId="1" shapeId="0">
      <text>
        <r>
          <rPr>
            <b/>
            <sz val="9"/>
            <color indexed="81"/>
            <rFont val="Tahoma"/>
            <family val="2"/>
          </rPr>
          <t>Marielle Pierron:</t>
        </r>
        <r>
          <rPr>
            <sz val="9"/>
            <color indexed="81"/>
            <rFont val="Tahoma"/>
            <family val="2"/>
          </rPr>
          <t xml:space="preserve">
frais transport intervenants 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>
  <authors>
    <author>Utilisateur Windows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<sst xmlns="http://schemas.openxmlformats.org/spreadsheetml/2006/main" count="605" uniqueCount="319">
  <si>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</si>
  <si>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</si>
  <si>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</si>
  <si>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</si>
  <si>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</si>
  <si>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</si>
  <si>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</si>
  <si>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</si>
  <si>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</si>
  <si>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</si>
  <si>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</si>
  <si>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</si>
  <si>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</si>
  <si>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</si>
  <si>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</si>
  <si>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</si>
  <si>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</si>
  <si>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</si>
  <si>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</si>
  <si>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</si>
  <si>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</si>
  <si>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</si>
  <si>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</si>
  <si>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</si>
  <si>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</si>
  <si>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</si>
  <si>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</si>
  <si>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</si>
  <si>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</si>
  <si>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</si>
  <si>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</si>
  <si>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</si>
  <si>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</si>
  <si>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Approches contemporaines des SIC</t>
  </si>
  <si>
    <t>MIXTE</t>
  </si>
  <si>
    <t>Obligatoire</t>
  </si>
  <si>
    <t>CM</t>
  </si>
  <si>
    <t>Mut+ext</t>
  </si>
  <si>
    <t>M2 Information-Communication, parcours MUSE</t>
  </si>
  <si>
    <t>EP1.1B</t>
  </si>
  <si>
    <t>Cultures professionnelles</t>
  </si>
  <si>
    <t>EP1.1C</t>
  </si>
  <si>
    <t>Préparation mémoire</t>
  </si>
  <si>
    <t>MEMSUIV</t>
  </si>
  <si>
    <t>EP1.2A</t>
  </si>
  <si>
    <t>TD</t>
  </si>
  <si>
    <t>EP1.2B</t>
  </si>
  <si>
    <t xml:space="preserve">Gestion et développement stratégique </t>
  </si>
  <si>
    <t>EP1.2C</t>
  </si>
  <si>
    <t>Stratégie de communication et positionnement</t>
  </si>
  <si>
    <t>EP1.2D</t>
  </si>
  <si>
    <t xml:space="preserve">Projet tuteuré </t>
  </si>
  <si>
    <t>FI/FC</t>
  </si>
  <si>
    <t>Option</t>
  </si>
  <si>
    <t>PROJSUIV</t>
  </si>
  <si>
    <t>EP1.2E</t>
  </si>
  <si>
    <t>Projet tuteuré alternance</t>
  </si>
  <si>
    <t>ALT</t>
  </si>
  <si>
    <t>EP1.2F</t>
  </si>
  <si>
    <t>Méthodologie du projet</t>
  </si>
  <si>
    <t>PROJTD</t>
  </si>
  <si>
    <t>EP1.3A</t>
  </si>
  <si>
    <t>Mutations de l’action publique en faveur des arts et des cultures</t>
  </si>
  <si>
    <t>EP1.3B</t>
  </si>
  <si>
    <t>Dynamiques de la société civile en Europe et dans le monde</t>
  </si>
  <si>
    <t>EP1.3C</t>
  </si>
  <si>
    <t>Coopérations et programmes européens</t>
  </si>
  <si>
    <t>EP1.4A</t>
  </si>
  <si>
    <t xml:space="preserve">Esthétique et politique de l'œuvre </t>
  </si>
  <si>
    <t>EP1.4B</t>
  </si>
  <si>
    <t xml:space="preserve">Espaces de production et de programmation </t>
  </si>
  <si>
    <t>EP1.4C</t>
  </si>
  <si>
    <t>Questions de représentation</t>
  </si>
  <si>
    <t>Master Arts de la Scène et du spectacle vivant LESLA</t>
  </si>
  <si>
    <t xml:space="preserve">Eco-critiques </t>
  </si>
  <si>
    <t>Questions de genre</t>
  </si>
  <si>
    <t>Processus de création</t>
  </si>
  <si>
    <t>EP1.5A</t>
  </si>
  <si>
    <t>Motifs</t>
  </si>
  <si>
    <t>EP1.5B</t>
  </si>
  <si>
    <t>International lectures</t>
  </si>
  <si>
    <t>Mut</t>
  </si>
  <si>
    <t>M1 DPACI</t>
  </si>
  <si>
    <t>EP1.5C</t>
  </si>
  <si>
    <t>Hors les murs</t>
  </si>
  <si>
    <t>SPSUIV</t>
  </si>
  <si>
    <t>EP1.5D</t>
  </si>
  <si>
    <t xml:space="preserve">Voyage d'étude </t>
  </si>
  <si>
    <t>Semestre 2</t>
  </si>
  <si>
    <t>EP2.1A</t>
  </si>
  <si>
    <t>Stage</t>
  </si>
  <si>
    <t>STTD</t>
  </si>
  <si>
    <t>EP2.1B</t>
  </si>
  <si>
    <t>STSUIV</t>
  </si>
  <si>
    <t>EP2.1C</t>
  </si>
  <si>
    <t>analyse et perspectives professionnelles</t>
  </si>
  <si>
    <t>ALTTD</t>
  </si>
  <si>
    <t>EP2.2A</t>
  </si>
  <si>
    <t>Mémoire</t>
  </si>
  <si>
    <t>MEMTD</t>
  </si>
  <si>
    <t>EP2.2B</t>
  </si>
  <si>
    <t>EP2.2C</t>
  </si>
  <si>
    <t>EP2.2D</t>
  </si>
  <si>
    <t>EP2.2E</t>
  </si>
  <si>
    <t>Suivi d'alternance</t>
  </si>
  <si>
    <t>ALTSUIV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</si>
  <si>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</si>
  <si>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</si>
  <si>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</si>
  <si>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</si>
  <si>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</si>
  <si>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</si>
  <si>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Nom de la formation</t>
  </si>
  <si>
    <t>Dévelppement de projets artistiques et culturels internationaux (DPACI)</t>
  </si>
  <si>
    <t xml:space="preserve">Nombre d'inscrits total
</t>
  </si>
  <si>
    <t>Composante</t>
  </si>
  <si>
    <t>ICOM - Institut de Communication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</si>
  <si>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</si>
  <si>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</si>
  <si>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</si>
  <si>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</si>
  <si>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</si>
  <si>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</si>
  <si>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</si>
  <si>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</si>
  <si>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</si>
  <si>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</si>
  <si>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</si>
  <si>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</si>
  <si>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</si>
  <si>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</si>
  <si>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</si>
  <si>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</si>
  <si>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</si>
  <si>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</si>
  <si>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</si>
  <si>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</si>
  <si>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</si>
  <si>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</si>
  <si>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</si>
  <si>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</si>
  <si>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</si>
  <si>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</si>
  <si>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Formation continue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</si>
  <si>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</si>
  <si>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</si>
  <si>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</si>
  <si>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</si>
  <si>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</si>
  <si>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</si>
  <si>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</si>
  <si>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</si>
  <si>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</si>
  <si>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</si>
  <si>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</si>
  <si>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</si>
  <si>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</si>
  <si>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</si>
  <si>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</si>
  <si>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</si>
  <si>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</si>
  <si>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</si>
  <si>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</si>
  <si>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</si>
  <si>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</si>
  <si>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</si>
  <si>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</si>
  <si>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</si>
  <si>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</si>
  <si>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</si>
  <si>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</si>
  <si>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</si>
  <si>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</si>
  <si>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</si>
  <si>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</si>
  <si>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</si>
  <si>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</si>
  <si>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</si>
  <si>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</si>
  <si>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</si>
  <si>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</si>
  <si>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</si>
  <si>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</si>
  <si>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</si>
  <si>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</si>
  <si>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</si>
  <si>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</si>
  <si>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</si>
  <si>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</si>
  <si>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</si>
  <si>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</si>
  <si>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</si>
  <si>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</si>
  <si>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</si>
  <si>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</si>
  <si>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</si>
  <si>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</si>
  <si>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</si>
  <si>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</si>
  <si>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</si>
  <si>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</si>
  <si>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</si>
  <si>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</si>
  <si>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</si>
  <si>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</si>
  <si>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</si>
  <si>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</si>
  <si>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</si>
  <si>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</si>
  <si>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</si>
  <si>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</si>
  <si>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</si>
  <si>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</si>
  <si>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</si>
  <si>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</si>
  <si>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</si>
  <si>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</si>
  <si>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</si>
  <si>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</si>
  <si>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</si>
  <si>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</si>
  <si>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</si>
  <si>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</si>
  <si>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</si>
  <si>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</si>
  <si>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</si>
  <si>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</si>
  <si>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</si>
  <si>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</si>
  <si>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</si>
  <si>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</si>
  <si>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</si>
  <si>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</si>
  <si>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</si>
  <si>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</si>
  <si>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</si>
  <si>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</si>
  <si>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</si>
  <si>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</si>
  <si>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</si>
  <si>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</si>
  <si>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</si>
  <si>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</si>
  <si>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</si>
  <si>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</si>
  <si>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</si>
  <si>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</si>
  <si>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</si>
  <si>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</si>
  <si>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</si>
  <si>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</si>
  <si>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</si>
  <si>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</si>
  <si>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</si>
  <si>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</si>
  <si>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</si>
  <si>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</si>
  <si>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</si>
  <si>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</si>
  <si>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</si>
  <si>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</si>
  <si>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</si>
  <si>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</si>
  <si>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</si>
  <si>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</si>
  <si>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</si>
  <si>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</si>
  <si>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</si>
  <si>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</si>
  <si>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</si>
  <si>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</si>
  <si>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</si>
  <si>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</si>
  <si>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</si>
  <si>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</si>
  <si>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</si>
  <si>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</si>
  <si>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</si>
  <si>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</si>
  <si>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</si>
  <si>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</si>
  <si>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Stage (TD)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</si>
  <si>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</si>
  <si>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</si>
  <si>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</si>
  <si>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</si>
  <si>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</si>
  <si>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</si>
  <si>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</si>
  <si>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</si>
  <si>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</si>
  <si>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</si>
  <si>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</si>
  <si>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</si>
  <si>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</si>
  <si>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</si>
  <si>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</si>
  <si>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</si>
  <si>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</si>
  <si>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</si>
  <si>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</si>
  <si>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</si>
  <si>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Mémoire de recherche (CM)</t>
  </si>
  <si>
    <t>MEMCM</t>
  </si>
  <si>
    <t>Formation à distance</t>
  </si>
  <si>
    <t>FOAD</t>
  </si>
  <si>
    <t>Sortie pédagogique (suivi)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</si>
  <si>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</si>
  <si>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</si>
  <si>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</si>
  <si>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</si>
  <si>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</si>
  <si>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</si>
  <si>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</si>
  <si>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</si>
  <si>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</si>
  <si>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</si>
  <si>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</si>
  <si>
    <t>Management, gouvernance, intelligence collective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</si>
</sst>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_-* #,##0.00\ &quot;BF&quot;_-;\-* #,##0.00\ &quot;BF&quot;_-;_-* &quot;-&quot;??\ &quot;BF&quot;_-;_-@_-"/>
    <numFmt numFmtId="167" formatCode="#,##0\ &quot;F&quot;"/>
    <numFmt numFmtId="168" formatCode="_-* #,##0.00\ _B_F_-;\-* #,##0.00\ _B_F_-;_-* &quot;-&quot;??\ _B_F_-;_-@_-"/>
    <numFmt numFmtId="169" formatCode="#,##0\ &quot;€&quot;"/>
    <numFmt numFmtId="170" formatCode="#,##0_ ;\-#,##0\ "/>
    <numFmt numFmtId="171" formatCode="_-* #,##0\ [$€]_-;\-* #,##0\ [$€]_-;_-* &quot;-&quot;??\ [$€]_-;_-@_-"/>
    <numFmt numFmtId="172" formatCode="_-* #,##0\ [$€-803]_-;\-* #,##0\ [$€-803]_-;_-* &quot;-&quot;??\ [$€-803]_-;_-@_-"/>
    <numFmt numFmtId="173" formatCode="#,##0.00_ ;\-#,##0.00\ "/>
    <numFmt numFmtId="174" formatCode="_-* #,##0\ &quot;€&quot;_-;\-* #,##0\ &quot;€&quot;_-;_-* &quot;-&quot;??\ &quot;€&quot;_-;_-@_-"/>
    <numFmt numFmtId="175" formatCode="#,##0.00\ &quot;€&quot;"/>
  </numFmts>
  <fonts count="32" x14ac:knownFonts="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8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</cellStyleXfs>
  <cellXfs count="548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2" borderId="0" xfId="10" applyFont="1" applyFill="1" applyAlignment="1">
      <alignment wrapText="1"/>
    </xf>
    <xf numFmtId="0" fontId="16" fillId="3" borderId="22" xfId="10" applyFont="1" applyFill="1" applyBorder="1" applyAlignment="1">
      <alignment horizontal="center" vertical="center" wrapText="1"/>
    </xf>
    <xf numFmtId="1" fontId="14" fillId="2" borderId="9" xfId="10" applyNumberFormat="1" applyFont="1" applyFill="1" applyBorder="1" applyAlignment="1">
      <alignment horizontal="center" vertical="center" wrapText="1"/>
    </xf>
    <xf numFmtId="0" fontId="15" fillId="6" borderId="5" xfId="10" applyFont="1" applyFill="1" applyBorder="1" applyAlignment="1">
      <alignment horizontal="center" vertical="center"/>
    </xf>
    <xf numFmtId="0" fontId="15" fillId="4" borderId="31" xfId="10" applyFont="1" applyFill="1" applyBorder="1" applyAlignment="1">
      <alignment horizontal="center" vertical="center"/>
    </xf>
    <xf numFmtId="0" fontId="15" fillId="6" borderId="45" xfId="10" applyFont="1" applyFill="1" applyBorder="1" applyAlignment="1">
      <alignment horizontal="center" vertical="center"/>
    </xf>
    <xf numFmtId="0" fontId="15" fillId="7" borderId="9" xfId="10" applyFont="1" applyFill="1" applyBorder="1" applyAlignment="1">
      <alignment horizontal="center" vertical="center"/>
    </xf>
    <xf numFmtId="0" fontId="17" fillId="7" borderId="10" xfId="10" applyFont="1" applyFill="1" applyBorder="1" applyAlignment="1">
      <alignment vertical="center"/>
    </xf>
    <xf numFmtId="1" fontId="13" fillId="7" borderId="9" xfId="9" applyNumberFormat="1" applyFont="1" applyFill="1" applyBorder="1" applyAlignment="1" applyProtection="1">
      <alignment horizontal="center" vertical="center"/>
    </xf>
    <xf numFmtId="0" fontId="16" fillId="3" borderId="18" xfId="0" applyFont="1" applyFill="1" applyBorder="1" applyAlignment="1">
      <alignment vertical="center"/>
    </xf>
    <xf numFmtId="0" fontId="16" fillId="3" borderId="38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165" fontId="16" fillId="3" borderId="1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" fontId="13" fillId="7" borderId="48" xfId="12" applyNumberFormat="1" applyFont="1" applyFill="1" applyBorder="1" applyAlignment="1" applyProtection="1">
      <alignment horizontal="center" vertical="center"/>
    </xf>
    <xf numFmtId="165" fontId="13" fillId="4" borderId="44" xfId="12" applyNumberFormat="1" applyFont="1" applyFill="1" applyBorder="1" applyAlignment="1" applyProtection="1">
      <alignment horizontal="center" vertical="center"/>
    </xf>
    <xf numFmtId="0" fontId="18" fillId="6" borderId="37" xfId="10" applyFont="1" applyFill="1" applyBorder="1" applyAlignment="1">
      <alignment horizontal="center" vertical="center"/>
    </xf>
    <xf numFmtId="0" fontId="17" fillId="2" borderId="4" xfId="10" applyFont="1" applyFill="1" applyBorder="1" applyAlignment="1" applyProtection="1">
      <alignment vertical="center"/>
      <protection locked="0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7" fillId="2" borderId="21" xfId="10" applyFont="1" applyFill="1" applyBorder="1" applyAlignment="1" applyProtection="1">
      <alignment vertical="center"/>
      <protection locked="0"/>
    </xf>
    <xf numFmtId="0" fontId="15" fillId="0" borderId="21" xfId="10" applyFont="1" applyBorder="1" applyAlignment="1" applyProtection="1">
      <alignment horizontal="center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>
      <alignment horizontal="left" vertical="center"/>
    </xf>
    <xf numFmtId="0" fontId="15" fillId="0" borderId="40" xfId="10" applyFont="1" applyBorder="1" applyAlignment="1" applyProtection="1">
      <alignment horizontal="center" vertical="center"/>
      <protection locked="0"/>
    </xf>
    <xf numFmtId="0" fontId="15" fillId="0" borderId="45" xfId="10" applyFont="1" applyBorder="1" applyAlignment="1" applyProtection="1">
      <alignment horizontal="center" vertical="center"/>
      <protection locked="0"/>
    </xf>
    <xf numFmtId="0" fontId="15" fillId="0" borderId="2" xfId="10" applyFont="1" applyBorder="1" applyAlignment="1" applyProtection="1">
      <alignment horizontal="center" vertical="center"/>
      <protection locked="0"/>
    </xf>
    <xf numFmtId="0" fontId="15" fillId="0" borderId="47" xfId="10" applyFont="1" applyBorder="1" applyAlignment="1" applyProtection="1">
      <alignment horizontal="center" vertical="center"/>
      <protection locked="0"/>
    </xf>
    <xf numFmtId="0" fontId="18" fillId="0" borderId="21" xfId="10" applyFont="1" applyBorder="1" applyAlignment="1" applyProtection="1">
      <alignment horizontal="center" vertical="center"/>
      <protection locked="0"/>
    </xf>
    <xf numFmtId="0" fontId="15" fillId="7" borderId="16" xfId="10" applyFont="1" applyFill="1" applyBorder="1" applyAlignment="1">
      <alignment horizontal="center" vertical="center"/>
    </xf>
    <xf numFmtId="0" fontId="11" fillId="3" borderId="29" xfId="1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/>
    </xf>
    <xf numFmtId="0" fontId="15" fillId="0" borderId="3" xfId="10" applyFont="1" applyBorder="1" applyAlignment="1" applyProtection="1">
      <alignment horizontal="center" vertical="center"/>
      <protection locked="0"/>
    </xf>
    <xf numFmtId="165" fontId="15" fillId="7" borderId="10" xfId="10" applyNumberFormat="1" applyFont="1" applyFill="1" applyBorder="1" applyAlignment="1">
      <alignment horizontal="center" vertical="center"/>
    </xf>
    <xf numFmtId="165" fontId="18" fillId="7" borderId="9" xfId="10" applyNumberFormat="1" applyFont="1" applyFill="1" applyBorder="1" applyAlignment="1">
      <alignment horizontal="center" vertical="center"/>
    </xf>
    <xf numFmtId="165" fontId="16" fillId="3" borderId="12" xfId="0" applyNumberFormat="1" applyFont="1" applyFill="1" applyBorder="1" applyAlignment="1">
      <alignment horizontal="center" vertical="center"/>
    </xf>
    <xf numFmtId="0" fontId="17" fillId="2" borderId="14" xfId="10" applyFont="1" applyFill="1" applyBorder="1" applyAlignment="1" applyProtection="1">
      <alignment vertical="center"/>
      <protection locked="0"/>
    </xf>
    <xf numFmtId="0" fontId="13" fillId="0" borderId="50" xfId="9" applyNumberFormat="1" applyFont="1" applyBorder="1" applyAlignment="1" applyProtection="1">
      <alignment horizontal="center" vertical="center"/>
      <protection locked="0"/>
    </xf>
    <xf numFmtId="0" fontId="13" fillId="7" borderId="8" xfId="9" applyNumberFormat="1" applyFont="1" applyFill="1" applyBorder="1" applyAlignment="1" applyProtection="1">
      <alignment horizontal="center" vertical="center"/>
    </xf>
    <xf numFmtId="0" fontId="15" fillId="2" borderId="7" xfId="10" applyFont="1" applyFill="1" applyBorder="1" applyAlignment="1" applyProtection="1">
      <alignment horizontal="center" vertical="center" wrapText="1"/>
      <protection locked="0"/>
    </xf>
    <xf numFmtId="0" fontId="15" fillId="2" borderId="13" xfId="10" applyFont="1" applyFill="1" applyBorder="1" applyAlignment="1" applyProtection="1">
      <alignment horizontal="center" vertical="center" wrapText="1"/>
      <protection locked="0"/>
    </xf>
    <xf numFmtId="0" fontId="15" fillId="7" borderId="8" xfId="10" applyFont="1" applyFill="1" applyBorder="1" applyAlignment="1">
      <alignment horizontal="center" vertical="center" wrapText="1"/>
    </xf>
    <xf numFmtId="0" fontId="15" fillId="0" borderId="30" xfId="10" applyFont="1" applyBorder="1" applyAlignment="1" applyProtection="1">
      <alignment horizontal="center" vertical="center"/>
      <protection locked="0"/>
    </xf>
    <xf numFmtId="0" fontId="18" fillId="6" borderId="61" xfId="10" applyFont="1" applyFill="1" applyBorder="1" applyAlignment="1">
      <alignment horizontal="center" vertical="center"/>
    </xf>
    <xf numFmtId="165" fontId="13" fillId="4" borderId="62" xfId="12" applyNumberFormat="1" applyFont="1" applyFill="1" applyBorder="1" applyAlignment="1" applyProtection="1">
      <alignment horizontal="center" vertical="center"/>
    </xf>
    <xf numFmtId="0" fontId="15" fillId="4" borderId="61" xfId="10" applyFont="1" applyFill="1" applyBorder="1" applyAlignment="1">
      <alignment horizontal="center" vertical="center"/>
    </xf>
    <xf numFmtId="0" fontId="13" fillId="7" borderId="23" xfId="9" applyNumberFormat="1" applyFont="1" applyFill="1" applyBorder="1" applyAlignment="1" applyProtection="1">
      <alignment horizontal="center" vertical="center"/>
    </xf>
    <xf numFmtId="0" fontId="13" fillId="7" borderId="39" xfId="9" applyNumberFormat="1" applyFont="1" applyFill="1" applyBorder="1" applyAlignment="1" applyProtection="1">
      <alignment horizontal="left" vertical="center"/>
    </xf>
    <xf numFmtId="0" fontId="15" fillId="7" borderId="23" xfId="10" applyFont="1" applyFill="1" applyBorder="1" applyAlignment="1">
      <alignment horizontal="left" vertical="center"/>
    </xf>
    <xf numFmtId="165" fontId="13" fillId="7" borderId="63" xfId="12" applyNumberFormat="1" applyFont="1" applyFill="1" applyBorder="1" applyAlignment="1" applyProtection="1">
      <alignment horizontal="center" vertical="center"/>
    </xf>
    <xf numFmtId="0" fontId="17" fillId="7" borderId="16" xfId="10" applyFont="1" applyFill="1" applyBorder="1" applyAlignment="1">
      <alignment vertical="center"/>
    </xf>
    <xf numFmtId="0" fontId="18" fillId="7" borderId="51" xfId="10" applyFont="1" applyFill="1" applyBorder="1" applyAlignment="1">
      <alignment horizontal="center" vertical="center"/>
    </xf>
    <xf numFmtId="1" fontId="16" fillId="3" borderId="12" xfId="0" applyNumberFormat="1" applyFont="1" applyFill="1" applyBorder="1" applyAlignment="1">
      <alignment horizontal="center" vertical="center"/>
    </xf>
    <xf numFmtId="0" fontId="16" fillId="3" borderId="60" xfId="1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7" fontId="8" fillId="2" borderId="0" xfId="14" applyNumberFormat="1" applyFont="1" applyFill="1" applyAlignment="1" applyProtection="1">
      <alignment vertical="center"/>
    </xf>
    <xf numFmtId="167" fontId="8" fillId="2" borderId="0" xfId="14" applyNumberFormat="1" applyFont="1" applyFill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8" fillId="8" borderId="4" xfId="15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>
      <alignment vertical="center"/>
    </xf>
    <xf numFmtId="169" fontId="9" fillId="2" borderId="4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2" borderId="2" xfId="0" applyFont="1" applyFill="1" applyBorder="1" applyAlignment="1" applyProtection="1">
      <alignment horizontal="right" vertical="center"/>
      <protection locked="0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8" fillId="2" borderId="16" xfId="0" applyFont="1" applyFill="1" applyBorder="1" applyAlignment="1">
      <alignment horizontal="center" vertical="center"/>
    </xf>
    <xf numFmtId="169" fontId="8" fillId="8" borderId="4" xfId="0" applyNumberFormat="1" applyFont="1" applyFill="1" applyBorder="1" applyAlignment="1" applyProtection="1">
      <alignment vertical="center"/>
      <protection locked="0"/>
    </xf>
    <xf numFmtId="0" fontId="8" fillId="2" borderId="4" xfId="0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vertical="center"/>
    </xf>
    <xf numFmtId="169" fontId="8" fillId="10" borderId="3" xfId="0" applyNumberFormat="1" applyFont="1" applyFill="1" applyBorder="1" applyAlignment="1">
      <alignment vertical="center"/>
    </xf>
    <xf numFmtId="169" fontId="8" fillId="10" borderId="10" xfId="0" applyNumberFormat="1" applyFont="1" applyFill="1" applyBorder="1" applyAlignment="1">
      <alignment vertical="center"/>
    </xf>
    <xf numFmtId="169" fontId="8" fillId="10" borderId="16" xfId="0" applyNumberFormat="1" applyFont="1" applyFill="1" applyBorder="1" applyAlignment="1">
      <alignment vertical="center"/>
    </xf>
    <xf numFmtId="169" fontId="8" fillId="10" borderId="48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8" borderId="4" xfId="0" applyFont="1" applyFill="1" applyBorder="1" applyAlignment="1" applyProtection="1">
      <alignment vertical="center"/>
      <protection locked="0"/>
    </xf>
    <xf numFmtId="9" fontId="8" fillId="8" borderId="4" xfId="12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>
      <alignment vertical="center"/>
    </xf>
    <xf numFmtId="0" fontId="8" fillId="8" borderId="21" xfId="0" applyFont="1" applyFill="1" applyBorder="1" applyAlignment="1" applyProtection="1">
      <alignment vertical="center"/>
      <protection locked="0"/>
    </xf>
    <xf numFmtId="169" fontId="8" fillId="8" borderId="21" xfId="0" applyNumberFormat="1" applyFont="1" applyFill="1" applyBorder="1" applyAlignment="1" applyProtection="1">
      <alignment vertical="center"/>
      <protection locked="0"/>
    </xf>
    <xf numFmtId="0" fontId="9" fillId="2" borderId="3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vertical="center"/>
    </xf>
    <xf numFmtId="169" fontId="9" fillId="2" borderId="36" xfId="0" applyNumberFormat="1" applyFont="1" applyFill="1" applyBorder="1" applyAlignment="1">
      <alignment vertical="center"/>
    </xf>
    <xf numFmtId="169" fontId="9" fillId="2" borderId="9" xfId="0" applyNumberFormat="1" applyFont="1" applyFill="1" applyBorder="1" applyAlignment="1">
      <alignment vertical="center"/>
    </xf>
    <xf numFmtId="169" fontId="9" fillId="2" borderId="0" xfId="0" applyNumberFormat="1" applyFont="1" applyFill="1" applyAlignment="1">
      <alignment vertical="center"/>
    </xf>
    <xf numFmtId="0" fontId="10" fillId="3" borderId="30" xfId="0" applyFont="1" applyFill="1" applyBorder="1" applyAlignment="1">
      <alignment horizontal="center" vertical="center" wrapText="1"/>
    </xf>
    <xf numFmtId="169" fontId="9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7" fontId="8" fillId="0" borderId="0" xfId="14" applyNumberFormat="1" applyFont="1" applyAlignment="1" applyProtection="1">
      <alignment vertical="center"/>
    </xf>
    <xf numFmtId="167" fontId="8" fillId="0" borderId="0" xfId="14" applyNumberFormat="1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15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right" vertical="center" wrapText="1"/>
    </xf>
    <xf numFmtId="170" fontId="23" fillId="0" borderId="0" xfId="15" applyNumberFormat="1" applyFont="1" applyFill="1" applyBorder="1" applyAlignment="1" applyProtection="1">
      <alignment horizontal="center" vertical="center"/>
    </xf>
    <xf numFmtId="164" fontId="23" fillId="0" borderId="0" xfId="0" applyNumberFormat="1" applyFont="1" applyAlignment="1">
      <alignment horizontal="right" vertical="center"/>
    </xf>
    <xf numFmtId="171" fontId="8" fillId="2" borderId="0" xfId="0" applyNumberFormat="1" applyFont="1" applyFill="1" applyAlignment="1">
      <alignment horizontal="center" vertical="center"/>
    </xf>
    <xf numFmtId="0" fontId="10" fillId="3" borderId="19" xfId="0" applyFont="1" applyFill="1" applyBorder="1" applyAlignment="1">
      <alignment vertical="center"/>
    </xf>
    <xf numFmtId="0" fontId="10" fillId="3" borderId="18" xfId="0" applyFont="1" applyFill="1" applyBorder="1" applyAlignment="1">
      <alignment vertical="center"/>
    </xf>
    <xf numFmtId="0" fontId="10" fillId="3" borderId="34" xfId="0" applyFont="1" applyFill="1" applyBorder="1" applyAlignment="1">
      <alignment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 wrapText="1"/>
    </xf>
    <xf numFmtId="167" fontId="9" fillId="2" borderId="30" xfId="14" applyNumberFormat="1" applyFont="1" applyFill="1" applyBorder="1" applyAlignment="1" applyProtection="1">
      <alignment horizontal="center" vertical="center" wrapText="1"/>
    </xf>
    <xf numFmtId="167" fontId="9" fillId="2" borderId="12" xfId="14" applyNumberFormat="1" applyFont="1" applyFill="1" applyBorder="1" applyAlignment="1" applyProtection="1">
      <alignment horizontal="center" vertical="center" wrapText="1"/>
    </xf>
    <xf numFmtId="167" fontId="9" fillId="2" borderId="34" xfId="14" applyNumberFormat="1" applyFont="1" applyFill="1" applyBorder="1" applyAlignment="1" applyProtection="1">
      <alignment horizontal="center" vertical="center" wrapText="1"/>
    </xf>
    <xf numFmtId="167" fontId="9" fillId="2" borderId="25" xfId="14" applyNumberFormat="1" applyFont="1" applyFill="1" applyBorder="1" applyAlignment="1" applyProtection="1">
      <alignment horizontal="center" vertical="center" wrapText="1"/>
      <protection locked="0"/>
    </xf>
    <xf numFmtId="167" fontId="9" fillId="2" borderId="12" xfId="14" applyNumberFormat="1" applyFont="1" applyFill="1" applyBorder="1" applyAlignment="1" applyProtection="1">
      <alignment horizontal="center" vertical="center" wrapText="1"/>
      <protection locked="0"/>
    </xf>
    <xf numFmtId="167" fontId="9" fillId="2" borderId="15" xfId="14" applyNumberFormat="1" applyFont="1" applyFill="1" applyBorder="1" applyAlignment="1" applyProtection="1">
      <alignment horizontal="center" vertical="center" wrapText="1"/>
      <protection locked="0"/>
    </xf>
    <xf numFmtId="167" fontId="9" fillId="2" borderId="32" xfId="14" applyNumberFormat="1" applyFont="1" applyFill="1" applyBorder="1" applyAlignment="1" applyProtection="1">
      <alignment horizontal="center" vertical="center" wrapText="1"/>
    </xf>
    <xf numFmtId="167" fontId="9" fillId="2" borderId="24" xfId="14" applyNumberFormat="1" applyFont="1" applyFill="1" applyBorder="1" applyAlignment="1" applyProtection="1">
      <alignment horizontal="center" vertical="center" wrapText="1"/>
    </xf>
    <xf numFmtId="167" fontId="9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9" fillId="5" borderId="19" xfId="0" applyFont="1" applyFill="1" applyBorder="1" applyAlignment="1">
      <alignment vertical="center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172" fontId="9" fillId="5" borderId="12" xfId="0" applyNumberFormat="1" applyFont="1" applyFill="1" applyBorder="1" applyAlignment="1">
      <alignment vertical="center"/>
    </xf>
    <xf numFmtId="172" fontId="9" fillId="5" borderId="18" xfId="0" applyNumberFormat="1" applyFont="1" applyFill="1" applyBorder="1" applyAlignment="1">
      <alignment vertical="center"/>
    </xf>
    <xf numFmtId="172" fontId="9" fillId="5" borderId="17" xfId="0" applyNumberFormat="1" applyFont="1" applyFill="1" applyBorder="1" applyAlignment="1">
      <alignment vertical="center"/>
    </xf>
    <xf numFmtId="172" fontId="9" fillId="5" borderId="32" xfId="0" applyNumberFormat="1" applyFont="1" applyFill="1" applyBorder="1" applyAlignment="1">
      <alignment vertical="center"/>
    </xf>
    <xf numFmtId="172" fontId="9" fillId="5" borderId="11" xfId="0" applyNumberFormat="1" applyFont="1" applyFill="1" applyBorder="1" applyAlignment="1">
      <alignment vertical="center"/>
    </xf>
    <xf numFmtId="9" fontId="9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1" fontId="9" fillId="2" borderId="50" xfId="15" applyNumberFormat="1" applyFont="1" applyFill="1" applyBorder="1" applyAlignment="1" applyProtection="1">
      <alignment horizontal="left" vertical="center"/>
    </xf>
    <xf numFmtId="0" fontId="9" fillId="0" borderId="67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173" fontId="9" fillId="0" borderId="55" xfId="0" applyNumberFormat="1" applyFont="1" applyBorder="1" applyAlignment="1">
      <alignment horizontal="center" vertical="center" wrapText="1"/>
    </xf>
    <xf numFmtId="174" fontId="9" fillId="0" borderId="55" xfId="16" applyNumberFormat="1" applyFont="1" applyFill="1" applyBorder="1" applyAlignment="1" applyProtection="1">
      <alignment vertical="center" wrapText="1"/>
    </xf>
    <xf numFmtId="174" fontId="9" fillId="0" borderId="61" xfId="16" applyNumberFormat="1" applyFont="1" applyFill="1" applyBorder="1" applyAlignment="1" applyProtection="1">
      <alignment vertical="center" wrapText="1"/>
    </xf>
    <xf numFmtId="174" fontId="9" fillId="0" borderId="54" xfId="16" applyNumberFormat="1" applyFont="1" applyFill="1" applyBorder="1" applyAlignment="1" applyProtection="1">
      <alignment vertical="center" wrapText="1"/>
    </xf>
    <xf numFmtId="171" fontId="25" fillId="2" borderId="0" xfId="0" applyNumberFormat="1" applyFont="1" applyFill="1" applyAlignment="1">
      <alignment horizontal="center" vertical="center" wrapText="1"/>
    </xf>
    <xf numFmtId="0" fontId="26" fillId="2" borderId="0" xfId="0" applyFont="1" applyFill="1" applyAlignment="1">
      <alignment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2" borderId="5" xfId="15" applyNumberFormat="1" applyFont="1" applyFill="1" applyBorder="1" applyAlignment="1" applyProtection="1">
      <alignment horizontal="center" vertical="center"/>
    </xf>
    <xf numFmtId="171" fontId="8" fillId="2" borderId="5" xfId="0" applyNumberFormat="1" applyFont="1" applyFill="1" applyBorder="1" applyAlignment="1">
      <alignment horizontal="center" vertical="center"/>
    </xf>
    <xf numFmtId="171" fontId="8" fillId="0" borderId="5" xfId="0" applyNumberFormat="1" applyFont="1" applyBorder="1" applyAlignment="1">
      <alignment horizontal="center" vertical="center"/>
    </xf>
    <xf numFmtId="171" fontId="8" fillId="0" borderId="37" xfId="0" applyNumberFormat="1" applyFont="1" applyBorder="1" applyAlignment="1">
      <alignment horizontal="center" vertical="center"/>
    </xf>
    <xf numFmtId="171" fontId="8" fillId="8" borderId="4" xfId="15" applyNumberFormat="1" applyFont="1" applyFill="1" applyBorder="1" applyAlignment="1" applyProtection="1">
      <alignment horizontal="center" vertical="center"/>
      <protection locked="0"/>
    </xf>
    <xf numFmtId="171" fontId="8" fillId="0" borderId="35" xfId="0" applyNumberFormat="1" applyFont="1" applyBorder="1" applyAlignment="1">
      <alignment horizontal="center" vertical="center"/>
    </xf>
    <xf numFmtId="1" fontId="19" fillId="2" borderId="0" xfId="0" applyNumberFormat="1" applyFont="1" applyFill="1" applyAlignment="1">
      <alignment vertical="center"/>
    </xf>
    <xf numFmtId="1" fontId="19" fillId="0" borderId="0" xfId="0" applyNumberFormat="1" applyFont="1" applyAlignment="1">
      <alignment vertical="center"/>
    </xf>
    <xf numFmtId="171" fontId="8" fillId="0" borderId="4" xfId="0" applyNumberFormat="1" applyFont="1" applyBorder="1" applyAlignment="1">
      <alignment horizontal="center" vertical="center"/>
    </xf>
    <xf numFmtId="171" fontId="8" fillId="0" borderId="33" xfId="0" applyNumberFormat="1" applyFont="1" applyBorder="1" applyAlignment="1">
      <alignment horizontal="center" vertical="center"/>
    </xf>
    <xf numFmtId="44" fontId="8" fillId="8" borderId="4" xfId="15" applyNumberFormat="1" applyFont="1" applyFill="1" applyBorder="1" applyAlignment="1" applyProtection="1">
      <alignment horizontal="right" vertical="center"/>
      <protection locked="0"/>
    </xf>
    <xf numFmtId="174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9" fillId="7" borderId="9" xfId="0" applyFont="1" applyFill="1" applyBorder="1" applyAlignment="1">
      <alignment horizontal="center" vertical="center"/>
    </xf>
    <xf numFmtId="174" fontId="9" fillId="7" borderId="9" xfId="0" applyNumberFormat="1" applyFont="1" applyFill="1" applyBorder="1" applyAlignment="1">
      <alignment vertical="center"/>
    </xf>
    <xf numFmtId="171" fontId="9" fillId="7" borderId="41" xfId="0" applyNumberFormat="1" applyFont="1" applyFill="1" applyBorder="1" applyAlignment="1">
      <alignment horizontal="center" vertical="center"/>
    </xf>
    <xf numFmtId="171" fontId="9" fillId="7" borderId="36" xfId="0" applyNumberFormat="1" applyFont="1" applyFill="1" applyBorder="1" applyAlignment="1">
      <alignment horizontal="center" vertical="center"/>
    </xf>
    <xf numFmtId="171" fontId="9" fillId="7" borderId="39" xfId="0" applyNumberFormat="1" applyFont="1" applyFill="1" applyBorder="1" applyAlignment="1">
      <alignment horizontal="center" vertical="center"/>
    </xf>
    <xf numFmtId="171" fontId="9" fillId="7" borderId="20" xfId="0" applyNumberFormat="1" applyFont="1" applyFill="1" applyBorder="1" applyAlignment="1">
      <alignment horizontal="center" vertical="center"/>
    </xf>
    <xf numFmtId="171" fontId="9" fillId="2" borderId="0" xfId="0" applyNumberFormat="1" applyFont="1" applyFill="1" applyAlignment="1">
      <alignment horizontal="center" vertical="center" wrapText="1"/>
    </xf>
    <xf numFmtId="171" fontId="9" fillId="7" borderId="8" xfId="0" applyNumberFormat="1" applyFont="1" applyFill="1" applyBorder="1" applyAlignment="1">
      <alignment horizontal="center" vertical="center"/>
    </xf>
    <xf numFmtId="171" fontId="9" fillId="7" borderId="23" xfId="0" applyNumberFormat="1" applyFont="1" applyFill="1" applyBorder="1" applyAlignment="1">
      <alignment horizontal="center" vertical="center"/>
    </xf>
    <xf numFmtId="171" fontId="9" fillId="7" borderId="9" xfId="0" applyNumberFormat="1" applyFont="1" applyFill="1" applyBorder="1" applyAlignment="1">
      <alignment horizontal="center" vertical="center"/>
    </xf>
    <xf numFmtId="1" fontId="9" fillId="2" borderId="13" xfId="15" applyNumberFormat="1" applyFont="1" applyFill="1" applyBorder="1" applyAlignment="1" applyProtection="1">
      <alignment horizontal="left" vertical="center"/>
    </xf>
    <xf numFmtId="0" fontId="9" fillId="0" borderId="68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173" fontId="9" fillId="0" borderId="24" xfId="0" applyNumberFormat="1" applyFont="1" applyBorder="1" applyAlignment="1">
      <alignment horizontal="center" vertical="center" wrapText="1"/>
    </xf>
    <xf numFmtId="174" fontId="9" fillId="0" borderId="24" xfId="16" applyNumberFormat="1" applyFont="1" applyFill="1" applyBorder="1" applyAlignment="1" applyProtection="1">
      <alignment vertical="center" wrapText="1"/>
    </xf>
    <xf numFmtId="174" fontId="9" fillId="0" borderId="37" xfId="16" applyNumberFormat="1" applyFont="1" applyFill="1" applyBorder="1" applyAlignment="1" applyProtection="1">
      <alignment vertical="center" wrapText="1"/>
    </xf>
    <xf numFmtId="174" fontId="9" fillId="0" borderId="25" xfId="16" applyNumberFormat="1" applyFont="1" applyFill="1" applyBorder="1" applyAlignment="1" applyProtection="1">
      <alignment vertical="center" wrapText="1"/>
    </xf>
    <xf numFmtId="174" fontId="9" fillId="0" borderId="15" xfId="16" applyNumberFormat="1" applyFont="1" applyFill="1" applyBorder="1" applyAlignment="1" applyProtection="1">
      <alignment vertical="center" wrapText="1"/>
    </xf>
    <xf numFmtId="174" fontId="9" fillId="0" borderId="42" xfId="16" applyNumberFormat="1" applyFont="1" applyFill="1" applyBorder="1" applyAlignment="1" applyProtection="1">
      <alignment vertical="center" wrapText="1"/>
    </xf>
    <xf numFmtId="1" fontId="26" fillId="2" borderId="0" xfId="0" applyNumberFormat="1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1" fontId="26" fillId="0" borderId="0" xfId="0" applyNumberFormat="1" applyFont="1" applyAlignment="1">
      <alignment vertical="center"/>
    </xf>
    <xf numFmtId="174" fontId="8" fillId="0" borderId="4" xfId="0" applyNumberFormat="1" applyFont="1" applyBorder="1" applyAlignment="1">
      <alignment vertical="center"/>
    </xf>
    <xf numFmtId="171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8" fillId="8" borderId="21" xfId="15" applyNumberFormat="1" applyFont="1" applyFill="1" applyBorder="1" applyAlignment="1" applyProtection="1">
      <alignment horizontal="center" vertical="center"/>
      <protection locked="0"/>
    </xf>
    <xf numFmtId="174" fontId="8" fillId="0" borderId="21" xfId="0" applyNumberFormat="1" applyFont="1" applyBorder="1" applyAlignment="1">
      <alignment vertical="center"/>
    </xf>
    <xf numFmtId="0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9" fillId="7" borderId="21" xfId="0" applyFont="1" applyFill="1" applyBorder="1" applyAlignment="1">
      <alignment horizontal="center" vertical="center"/>
    </xf>
    <xf numFmtId="174" fontId="9" fillId="7" borderId="21" xfId="0" applyNumberFormat="1" applyFont="1" applyFill="1" applyBorder="1" applyAlignment="1">
      <alignment vertical="center"/>
    </xf>
    <xf numFmtId="174" fontId="9" fillId="7" borderId="59" xfId="0" applyNumberFormat="1" applyFont="1" applyFill="1" applyBorder="1" applyAlignment="1">
      <alignment vertical="center"/>
    </xf>
    <xf numFmtId="0" fontId="8" fillId="2" borderId="54" xfId="0" applyFont="1" applyFill="1" applyBorder="1" applyAlignment="1">
      <alignment vertical="center"/>
    </xf>
    <xf numFmtId="0" fontId="8" fillId="2" borderId="55" xfId="0" applyFont="1" applyFill="1" applyBorder="1" applyAlignment="1">
      <alignment horizontal="right" vertical="center" wrapText="1"/>
    </xf>
    <xf numFmtId="0" fontId="23" fillId="0" borderId="55" xfId="0" applyFont="1" applyBorder="1" applyAlignment="1">
      <alignment vertical="center"/>
    </xf>
    <xf numFmtId="0" fontId="9" fillId="2" borderId="55" xfId="0" applyFont="1" applyFill="1" applyBorder="1" applyAlignment="1">
      <alignment vertical="center" wrapText="1"/>
    </xf>
    <xf numFmtId="0" fontId="9" fillId="2" borderId="40" xfId="0" applyFont="1" applyFill="1" applyBorder="1" applyAlignment="1">
      <alignment horizontal="right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53" xfId="0" applyNumberFormat="1" applyFont="1" applyBorder="1" applyAlignment="1">
      <alignment horizontal="center" vertical="center"/>
    </xf>
    <xf numFmtId="171" fontId="9" fillId="2" borderId="0" xfId="0" applyNumberFormat="1" applyFont="1" applyFill="1" applyAlignment="1">
      <alignment horizontal="center" vertical="center"/>
    </xf>
    <xf numFmtId="49" fontId="26" fillId="2" borderId="0" xfId="0" applyNumberFormat="1" applyFont="1" applyFill="1" applyAlignment="1" applyProtection="1">
      <alignment horizontal="left" vertical="center"/>
      <protection locked="0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8" fillId="2" borderId="52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right" vertical="center" wrapText="1"/>
    </xf>
    <xf numFmtId="0" fontId="23" fillId="0" borderId="23" xfId="0" applyFont="1" applyBorder="1" applyAlignment="1">
      <alignment vertical="center"/>
    </xf>
    <xf numFmtId="0" fontId="9" fillId="2" borderId="23" xfId="0" applyFont="1" applyFill="1" applyBorder="1" applyAlignment="1">
      <alignment vertical="center" wrapText="1"/>
    </xf>
    <xf numFmtId="0" fontId="9" fillId="2" borderId="41" xfId="0" applyFont="1" applyFill="1" applyBorder="1" applyAlignment="1">
      <alignment horizontal="right" vertical="center"/>
    </xf>
    <xf numFmtId="171" fontId="9" fillId="2" borderId="23" xfId="0" applyNumberFormat="1" applyFont="1" applyFill="1" applyBorder="1" applyAlignment="1">
      <alignment horizontal="center" vertical="center"/>
    </xf>
    <xf numFmtId="171" fontId="9" fillId="2" borderId="36" xfId="0" applyNumberFormat="1" applyFont="1" applyFill="1" applyBorder="1" applyAlignment="1">
      <alignment horizontal="center" vertical="center"/>
    </xf>
    <xf numFmtId="171" fontId="9" fillId="2" borderId="56" xfId="0" applyNumberFormat="1" applyFont="1" applyFill="1" applyBorder="1" applyAlignment="1">
      <alignment horizontal="center" vertical="center"/>
    </xf>
    <xf numFmtId="0" fontId="9" fillId="5" borderId="52" xfId="0" applyFont="1" applyFill="1" applyBorder="1" applyAlignment="1">
      <alignment vertical="center"/>
    </xf>
    <xf numFmtId="0" fontId="9" fillId="5" borderId="70" xfId="0" applyFont="1" applyFill="1" applyBorder="1" applyAlignment="1">
      <alignment vertical="center"/>
    </xf>
    <xf numFmtId="0" fontId="9" fillId="5" borderId="23" xfId="0" applyFont="1" applyFill="1" applyBorder="1" applyAlignment="1">
      <alignment vertical="center"/>
    </xf>
    <xf numFmtId="0" fontId="9" fillId="5" borderId="41" xfId="0" applyFont="1" applyFill="1" applyBorder="1" applyAlignment="1">
      <alignment vertical="center"/>
    </xf>
    <xf numFmtId="172" fontId="9" fillId="5" borderId="23" xfId="0" applyNumberFormat="1" applyFont="1" applyFill="1" applyBorder="1" applyAlignment="1">
      <alignment vertical="center"/>
    </xf>
    <xf numFmtId="172" fontId="9" fillId="5" borderId="70" xfId="0" applyNumberFormat="1" applyFont="1" applyFill="1" applyBorder="1" applyAlignment="1">
      <alignment vertical="center"/>
    </xf>
    <xf numFmtId="172" fontId="9" fillId="5" borderId="56" xfId="0" applyNumberFormat="1" applyFont="1" applyFill="1" applyBorder="1" applyAlignment="1">
      <alignment vertical="center"/>
    </xf>
    <xf numFmtId="172" fontId="9" fillId="5" borderId="34" xfId="0" applyNumberFormat="1" applyFont="1" applyFill="1" applyBorder="1" applyAlignment="1">
      <alignment vertical="center"/>
    </xf>
    <xf numFmtId="0" fontId="8" fillId="2" borderId="50" xfId="0" applyFont="1" applyFill="1" applyBorder="1" applyAlignment="1">
      <alignment vertical="center"/>
    </xf>
    <xf numFmtId="49" fontId="8" fillId="0" borderId="60" xfId="0" applyNumberFormat="1" applyFont="1" applyBorder="1" applyAlignment="1">
      <alignment vertical="center"/>
    </xf>
    <xf numFmtId="49" fontId="8" fillId="0" borderId="55" xfId="0" applyNumberFormat="1" applyFont="1" applyBorder="1" applyAlignment="1">
      <alignment vertical="center"/>
    </xf>
    <xf numFmtId="171" fontId="8" fillId="8" borderId="22" xfId="0" applyNumberFormat="1" applyFont="1" applyFill="1" applyBorder="1" applyAlignment="1" applyProtection="1">
      <alignment vertical="center"/>
      <protection locked="0"/>
    </xf>
    <xf numFmtId="171" fontId="8" fillId="2" borderId="22" xfId="0" applyNumberFormat="1" applyFont="1" applyFill="1" applyBorder="1" applyAlignment="1">
      <alignment horizontal="center" vertical="center"/>
    </xf>
    <xf numFmtId="171" fontId="8" fillId="2" borderId="61" xfId="0" applyNumberFormat="1" applyFont="1" applyFill="1" applyBorder="1" applyAlignment="1">
      <alignment horizontal="center" vertical="center"/>
    </xf>
    <xf numFmtId="171" fontId="8" fillId="8" borderId="50" xfId="15" applyNumberFormat="1" applyFont="1" applyFill="1" applyBorder="1" applyAlignment="1" applyProtection="1">
      <alignment horizontal="center" vertical="center"/>
      <protection locked="0"/>
    </xf>
    <xf numFmtId="171" fontId="8" fillId="8" borderId="22" xfId="15" applyNumberFormat="1" applyFont="1" applyFill="1" applyBorder="1" applyAlignment="1" applyProtection="1">
      <alignment horizontal="center" vertical="center"/>
      <protection locked="0"/>
    </xf>
    <xf numFmtId="171" fontId="8" fillId="8" borderId="40" xfId="15" applyNumberFormat="1" applyFont="1" applyFill="1" applyBorder="1" applyAlignment="1" applyProtection="1">
      <alignment horizontal="center" vertical="center"/>
      <protection locked="0"/>
    </xf>
    <xf numFmtId="171" fontId="8" fillId="0" borderId="53" xfId="0" applyNumberFormat="1" applyFont="1" applyBorder="1" applyAlignment="1">
      <alignment horizontal="center" vertical="center"/>
    </xf>
    <xf numFmtId="171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8" fillId="0" borderId="3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171" fontId="8" fillId="8" borderId="4" xfId="0" applyNumberFormat="1" applyFont="1" applyFill="1" applyBorder="1" applyAlignment="1" applyProtection="1">
      <alignment vertical="center"/>
      <protection locked="0"/>
    </xf>
    <xf numFmtId="171" fontId="8" fillId="2" borderId="37" xfId="0" applyNumberFormat="1" applyFont="1" applyFill="1" applyBorder="1" applyAlignment="1">
      <alignment horizontal="center" vertical="center"/>
    </xf>
    <xf numFmtId="171" fontId="8" fillId="8" borderId="2" xfId="15" applyNumberFormat="1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vertical="center"/>
    </xf>
    <xf numFmtId="0" fontId="8" fillId="0" borderId="66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71" fontId="8" fillId="8" borderId="9" xfId="0" applyNumberFormat="1" applyFont="1" applyFill="1" applyBorder="1" applyAlignment="1" applyProtection="1">
      <alignment vertical="center"/>
      <protection locked="0"/>
    </xf>
    <xf numFmtId="171" fontId="8" fillId="2" borderId="36" xfId="0" applyNumberFormat="1" applyFont="1" applyFill="1" applyBorder="1" applyAlignment="1">
      <alignment horizontal="center" vertical="center"/>
    </xf>
    <xf numFmtId="171" fontId="8" fillId="2" borderId="39" xfId="0" applyNumberFormat="1" applyFont="1" applyFill="1" applyBorder="1" applyAlignment="1">
      <alignment horizontal="center" vertical="center"/>
    </xf>
    <xf numFmtId="171" fontId="8" fillId="8" borderId="8" xfId="15" applyNumberFormat="1" applyFont="1" applyFill="1" applyBorder="1" applyAlignment="1" applyProtection="1">
      <alignment horizontal="center" vertical="center"/>
      <protection locked="0"/>
    </xf>
    <xf numFmtId="171" fontId="8" fillId="8" borderId="9" xfId="15" applyNumberFormat="1" applyFont="1" applyFill="1" applyBorder="1" applyAlignment="1" applyProtection="1">
      <alignment horizontal="center" vertical="center"/>
      <protection locked="0"/>
    </xf>
    <xf numFmtId="171" fontId="8" fillId="8" borderId="16" xfId="15" applyNumberFormat="1" applyFont="1" applyFill="1" applyBorder="1" applyAlignment="1" applyProtection="1">
      <alignment horizontal="center" vertical="center"/>
      <protection locked="0"/>
    </xf>
    <xf numFmtId="171" fontId="8" fillId="0" borderId="51" xfId="0" applyNumberFormat="1" applyFont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171" fontId="9" fillId="2" borderId="12" xfId="0" applyNumberFormat="1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171" fontId="9" fillId="5" borderId="12" xfId="0" applyNumberFormat="1" applyFont="1" applyFill="1" applyBorder="1" applyAlignment="1">
      <alignment horizontal="right" vertical="center"/>
    </xf>
    <xf numFmtId="171" fontId="9" fillId="5" borderId="32" xfId="0" applyNumberFormat="1" applyFont="1" applyFill="1" applyBorder="1" applyAlignment="1">
      <alignment horizontal="right" vertical="center"/>
    </xf>
    <xf numFmtId="171" fontId="9" fillId="5" borderId="17" xfId="0" applyNumberFormat="1" applyFont="1" applyFill="1" applyBorder="1" applyAlignment="1">
      <alignment horizontal="right" vertical="center"/>
    </xf>
    <xf numFmtId="9" fontId="9" fillId="2" borderId="49" xfId="0" applyNumberFormat="1" applyFont="1" applyFill="1" applyBorder="1" applyAlignment="1">
      <alignment horizontal="center" vertical="center"/>
    </xf>
    <xf numFmtId="171" fontId="8" fillId="0" borderId="0" xfId="0" applyNumberFormat="1" applyFont="1" applyAlignment="1">
      <alignment vertical="center"/>
    </xf>
    <xf numFmtId="0" fontId="8" fillId="2" borderId="19" xfId="0" applyFont="1" applyFill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9" fillId="2" borderId="18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horizontal="right" vertical="center"/>
    </xf>
    <xf numFmtId="171" fontId="9" fillId="2" borderId="32" xfId="0" applyNumberFormat="1" applyFont="1" applyFill="1" applyBorder="1" applyAlignment="1">
      <alignment horizontal="center" vertical="center"/>
    </xf>
    <xf numFmtId="0" fontId="8" fillId="2" borderId="0" xfId="16" applyNumberFormat="1" applyFont="1" applyFill="1" applyBorder="1" applyAlignment="1" applyProtection="1">
      <alignment horizontal="center" vertical="center"/>
    </xf>
    <xf numFmtId="171" fontId="9" fillId="2" borderId="39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167" fontId="9" fillId="2" borderId="25" xfId="14" applyNumberFormat="1" applyFont="1" applyFill="1" applyBorder="1" applyAlignment="1" applyProtection="1">
      <alignment horizontal="center" vertical="center" wrapText="1"/>
    </xf>
    <xf numFmtId="167" fontId="9" fillId="2" borderId="0" xfId="14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8" fillId="2" borderId="13" xfId="0" applyFont="1" applyFill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71" fontId="8" fillId="8" borderId="13" xfId="15" applyNumberFormat="1" applyFont="1" applyFill="1" applyBorder="1" applyAlignment="1" applyProtection="1">
      <alignment horizontal="center" vertical="center"/>
      <protection locked="0"/>
    </xf>
    <xf numFmtId="171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0" borderId="64" xfId="0" applyFont="1" applyBorder="1" applyAlignment="1">
      <alignment vertical="center"/>
    </xf>
    <xf numFmtId="0" fontId="8" fillId="0" borderId="2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4" fontId="9" fillId="2" borderId="0" xfId="16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/>
      <protection locked="0"/>
    </xf>
    <xf numFmtId="49" fontId="8" fillId="2" borderId="1" xfId="0" applyNumberFormat="1" applyFont="1" applyFill="1" applyBorder="1" applyAlignment="1" applyProtection="1">
      <alignment horizontal="left" vertical="center"/>
      <protection locked="0"/>
    </xf>
    <xf numFmtId="9" fontId="9" fillId="2" borderId="3" xfId="12" applyFont="1" applyFill="1" applyBorder="1" applyAlignment="1" applyProtection="1">
      <alignment horizontal="center" vertical="center"/>
    </xf>
    <xf numFmtId="0" fontId="8" fillId="0" borderId="18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9" fontId="23" fillId="0" borderId="15" xfId="0" applyNumberFormat="1" applyFont="1" applyBorder="1" applyAlignment="1">
      <alignment horizontal="left" vertical="center"/>
    </xf>
    <xf numFmtId="9" fontId="23" fillId="0" borderId="42" xfId="0" applyNumberFormat="1" applyFont="1" applyBorder="1" applyAlignment="1">
      <alignment horizontal="left" vertical="center"/>
    </xf>
    <xf numFmtId="9" fontId="23" fillId="0" borderId="0" xfId="0" applyNumberFormat="1" applyFont="1" applyAlignment="1">
      <alignment horizontal="left" vertical="center"/>
    </xf>
    <xf numFmtId="171" fontId="8" fillId="2" borderId="0" xfId="0" applyNumberFormat="1" applyFont="1" applyFill="1" applyAlignment="1">
      <alignment horizontal="righ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right" vertical="center"/>
    </xf>
    <xf numFmtId="0" fontId="19" fillId="3" borderId="18" xfId="0" applyFont="1" applyFill="1" applyBorder="1" applyAlignment="1">
      <alignment vertical="center"/>
    </xf>
    <xf numFmtId="0" fontId="10" fillId="3" borderId="38" xfId="0" applyFont="1" applyFill="1" applyBorder="1" applyAlignment="1">
      <alignment horizontal="center" vertical="center"/>
    </xf>
    <xf numFmtId="171" fontId="10" fillId="3" borderId="38" xfId="0" applyNumberFormat="1" applyFont="1" applyFill="1" applyBorder="1" applyAlignment="1">
      <alignment horizontal="center" vertical="center"/>
    </xf>
    <xf numFmtId="171" fontId="10" fillId="3" borderId="34" xfId="0" applyNumberFormat="1" applyFont="1" applyFill="1" applyBorder="1" applyAlignment="1">
      <alignment horizontal="center" vertical="center"/>
    </xf>
    <xf numFmtId="0" fontId="8" fillId="0" borderId="55" xfId="0" applyFont="1" applyBorder="1" applyAlignment="1">
      <alignment vertical="center" wrapText="1"/>
    </xf>
    <xf numFmtId="0" fontId="9" fillId="0" borderId="55" xfId="0" applyFont="1" applyBorder="1" applyAlignment="1">
      <alignment horizontal="right" vertical="center"/>
    </xf>
    <xf numFmtId="171" fontId="9" fillId="2" borderId="22" xfId="0" applyNumberFormat="1" applyFont="1" applyFill="1" applyBorder="1" applyAlignment="1">
      <alignment horizontal="center" vertical="center"/>
    </xf>
    <xf numFmtId="171" fontId="9" fillId="0" borderId="22" xfId="0" applyNumberFormat="1" applyFont="1" applyBorder="1" applyAlignment="1">
      <alignment horizontal="center" vertical="center"/>
    </xf>
    <xf numFmtId="171" fontId="9" fillId="0" borderId="61" xfId="0" applyNumberFormat="1" applyFont="1" applyBorder="1" applyAlignment="1">
      <alignment horizontal="center" vertical="center"/>
    </xf>
    <xf numFmtId="9" fontId="8" fillId="0" borderId="0" xfId="12" applyFont="1" applyFill="1" applyBorder="1" applyAlignment="1" applyProtection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0" fontId="9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9" fontId="8" fillId="2" borderId="0" xfId="0" applyNumberFormat="1" applyFont="1" applyFill="1" applyAlignment="1">
      <alignment horizontal="right" vertical="center"/>
    </xf>
    <xf numFmtId="0" fontId="8" fillId="0" borderId="26" xfId="0" applyFont="1" applyBorder="1" applyAlignment="1">
      <alignment vertical="center"/>
    </xf>
    <xf numFmtId="167" fontId="8" fillId="0" borderId="18" xfId="14" applyNumberFormat="1" applyFont="1" applyBorder="1" applyAlignment="1" applyProtection="1">
      <alignment vertical="center"/>
    </xf>
    <xf numFmtId="167" fontId="8" fillId="0" borderId="34" xfId="14" applyNumberFormat="1" applyFont="1" applyBorder="1" applyAlignment="1" applyProtection="1">
      <alignment vertical="center"/>
    </xf>
    <xf numFmtId="167" fontId="8" fillId="0" borderId="0" xfId="14" applyNumberFormat="1" applyFont="1" applyBorder="1" applyAlignment="1" applyProtection="1">
      <alignment vertical="center"/>
    </xf>
    <xf numFmtId="167" fontId="9" fillId="2" borderId="38" xfId="14" applyNumberFormat="1" applyFont="1" applyFill="1" applyBorder="1" applyAlignment="1" applyProtection="1">
      <alignment horizontal="center" vertical="center" wrapText="1"/>
    </xf>
    <xf numFmtId="167" fontId="9" fillId="2" borderId="29" xfId="14" applyNumberFormat="1" applyFont="1" applyFill="1" applyBorder="1" applyAlignment="1" applyProtection="1">
      <alignment horizontal="center" vertical="center" wrapText="1"/>
    </xf>
    <xf numFmtId="167" fontId="9" fillId="2" borderId="15" xfId="14" applyNumberFormat="1" applyFont="1" applyFill="1" applyBorder="1" applyAlignment="1" applyProtection="1">
      <alignment horizontal="center" vertical="center" wrapText="1"/>
    </xf>
    <xf numFmtId="167" fontId="9" fillId="2" borderId="57" xfId="14" applyNumberFormat="1" applyFont="1" applyFill="1" applyBorder="1" applyAlignment="1" applyProtection="1">
      <alignment horizontal="center" vertical="center" wrapText="1"/>
    </xf>
    <xf numFmtId="0" fontId="9" fillId="0" borderId="55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171" fontId="8" fillId="0" borderId="22" xfId="0" applyNumberFormat="1" applyFont="1" applyBorder="1" applyAlignment="1">
      <alignment horizontal="center" vertical="center"/>
    </xf>
    <xf numFmtId="171" fontId="8" fillId="0" borderId="42" xfId="0" applyNumberFormat="1" applyFont="1" applyBorder="1" applyAlignment="1">
      <alignment horizontal="center" vertical="center"/>
    </xf>
    <xf numFmtId="0" fontId="8" fillId="8" borderId="22" xfId="15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171" fontId="8" fillId="0" borderId="36" xfId="0" applyNumberFormat="1" applyFont="1" applyBorder="1" applyAlignment="1">
      <alignment horizontal="center" vertical="center"/>
    </xf>
    <xf numFmtId="171" fontId="8" fillId="10" borderId="36" xfId="0" applyNumberFormat="1" applyFont="1" applyFill="1" applyBorder="1" applyAlignment="1">
      <alignment horizontal="center" vertical="center"/>
    </xf>
    <xf numFmtId="171" fontId="8" fillId="0" borderId="59" xfId="0" applyNumberFormat="1" applyFont="1" applyBorder="1" applyAlignment="1">
      <alignment horizontal="center" vertical="center"/>
    </xf>
    <xf numFmtId="0" fontId="8" fillId="8" borderId="9" xfId="15" applyNumberFormat="1" applyFont="1" applyFill="1" applyBorder="1" applyAlignment="1" applyProtection="1">
      <alignment horizontal="center" vertical="center"/>
      <protection locked="0"/>
    </xf>
    <xf numFmtId="0" fontId="23" fillId="0" borderId="2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1" fontId="23" fillId="0" borderId="0" xfId="0" applyNumberFormat="1" applyFont="1" applyAlignment="1">
      <alignment horizontal="left" vertical="center"/>
    </xf>
    <xf numFmtId="1" fontId="23" fillId="0" borderId="34" xfId="0" applyNumberFormat="1" applyFont="1" applyBorder="1" applyAlignment="1">
      <alignment horizontal="left" vertical="center"/>
    </xf>
    <xf numFmtId="175" fontId="8" fillId="2" borderId="0" xfId="0" applyNumberFormat="1" applyFont="1" applyFill="1" applyAlignment="1" applyProtection="1">
      <alignment horizontal="left" vertical="center"/>
      <protection locked="0"/>
    </xf>
    <xf numFmtId="175" fontId="8" fillId="2" borderId="0" xfId="0" applyNumberFormat="1" applyFont="1" applyFill="1" applyAlignment="1">
      <alignment horizontal="left" vertical="center"/>
    </xf>
    <xf numFmtId="175" fontId="8" fillId="0" borderId="0" xfId="0" applyNumberFormat="1" applyFont="1" applyAlignment="1">
      <alignment horizontal="left" vertical="center"/>
    </xf>
    <xf numFmtId="0" fontId="8" fillId="0" borderId="18" xfId="0" applyFont="1" applyBorder="1" applyAlignment="1">
      <alignment vertical="center" wrapText="1"/>
    </xf>
    <xf numFmtId="0" fontId="9" fillId="0" borderId="18" xfId="0" applyFont="1" applyBorder="1" applyAlignment="1">
      <alignment horizontal="right" vertical="center"/>
    </xf>
    <xf numFmtId="171" fontId="8" fillId="10" borderId="12" xfId="0" applyNumberFormat="1" applyFont="1" applyFill="1" applyBorder="1" applyAlignment="1">
      <alignment horizontal="center" vertical="center"/>
    </xf>
    <xf numFmtId="171" fontId="8" fillId="0" borderId="34" xfId="0" applyNumberFormat="1" applyFont="1" applyBorder="1" applyAlignment="1">
      <alignment horizontal="center" vertical="center"/>
    </xf>
    <xf numFmtId="171" fontId="9" fillId="0" borderId="0" xfId="0" applyNumberFormat="1" applyFont="1" applyAlignment="1">
      <alignment horizontal="center" vertical="center"/>
    </xf>
    <xf numFmtId="0" fontId="18" fillId="7" borderId="10" xfId="10" applyFont="1" applyFill="1" applyBorder="1" applyAlignment="1">
      <alignment horizontal="center" vertical="center"/>
    </xf>
    <xf numFmtId="0" fontId="11" fillId="3" borderId="50" xfId="10" applyFont="1" applyFill="1" applyBorder="1" applyAlignment="1">
      <alignment horizontal="center" vertical="center" wrapText="1"/>
    </xf>
    <xf numFmtId="0" fontId="11" fillId="3" borderId="22" xfId="10" applyFont="1" applyFill="1" applyBorder="1" applyAlignment="1">
      <alignment horizontal="center" vertical="center" wrapText="1"/>
    </xf>
    <xf numFmtId="0" fontId="11" fillId="3" borderId="53" xfId="10" applyFont="1" applyFill="1" applyBorder="1" applyAlignment="1">
      <alignment horizontal="center" vertical="center" wrapText="1"/>
    </xf>
    <xf numFmtId="1" fontId="13" fillId="6" borderId="7" xfId="12" applyNumberFormat="1" applyFont="1" applyFill="1" applyBorder="1" applyAlignment="1" applyProtection="1">
      <alignment horizontal="center" vertical="center"/>
    </xf>
    <xf numFmtId="0" fontId="15" fillId="6" borderId="37" xfId="10" applyFont="1" applyFill="1" applyBorder="1" applyAlignment="1">
      <alignment horizontal="center" vertical="center"/>
    </xf>
    <xf numFmtId="171" fontId="8" fillId="2" borderId="70" xfId="0" applyNumberFormat="1" applyFont="1" applyFill="1" applyBorder="1" applyAlignment="1">
      <alignment horizontal="center" vertical="center"/>
    </xf>
    <xf numFmtId="171" fontId="8" fillId="2" borderId="26" xfId="0" applyNumberFormat="1" applyFont="1" applyFill="1" applyBorder="1" applyAlignment="1">
      <alignment horizontal="center" vertical="center"/>
    </xf>
    <xf numFmtId="171" fontId="26" fillId="2" borderId="5" xfId="0" applyNumberFormat="1" applyFont="1" applyFill="1" applyBorder="1" applyAlignment="1">
      <alignment horizontal="center" vertical="center"/>
    </xf>
    <xf numFmtId="0" fontId="15" fillId="7" borderId="65" xfId="10" applyFont="1" applyFill="1" applyBorder="1" applyAlignment="1">
      <alignment horizontal="left" vertical="center"/>
    </xf>
    <xf numFmtId="0" fontId="15" fillId="7" borderId="48" xfId="10" applyFont="1" applyFill="1" applyBorder="1" applyAlignment="1">
      <alignment horizontal="left" vertical="center"/>
    </xf>
    <xf numFmtId="0" fontId="15" fillId="7" borderId="52" xfId="10" applyFont="1" applyFill="1" applyBorder="1" applyAlignment="1">
      <alignment horizontal="left" vertical="center"/>
    </xf>
    <xf numFmtId="0" fontId="15" fillId="7" borderId="39" xfId="10" applyFont="1" applyFill="1" applyBorder="1" applyAlignment="1">
      <alignment horizontal="left" vertical="center"/>
    </xf>
    <xf numFmtId="171" fontId="9" fillId="5" borderId="38" xfId="0" applyNumberFormat="1" applyFont="1" applyFill="1" applyBorder="1" applyAlignment="1">
      <alignment vertical="center"/>
    </xf>
    <xf numFmtId="1" fontId="13" fillId="6" borderId="13" xfId="12" applyNumberFormat="1" applyFont="1" applyFill="1" applyBorder="1" applyAlignment="1" applyProtection="1">
      <alignment horizontal="center" vertical="center"/>
    </xf>
    <xf numFmtId="0" fontId="15" fillId="0" borderId="72" xfId="10" applyFont="1" applyBorder="1" applyAlignment="1" applyProtection="1">
      <alignment horizontal="center" vertical="center"/>
      <protection locked="0"/>
    </xf>
    <xf numFmtId="0" fontId="15" fillId="2" borderId="5" xfId="10" applyFont="1" applyFill="1" applyBorder="1" applyAlignment="1" applyProtection="1">
      <alignment horizontal="center" vertical="center"/>
      <protection locked="0"/>
    </xf>
    <xf numFmtId="0" fontId="18" fillId="0" borderId="72" xfId="10" applyFont="1" applyBorder="1" applyAlignment="1" applyProtection="1">
      <alignment horizontal="center" vertical="center"/>
      <protection locked="0"/>
    </xf>
    <xf numFmtId="0" fontId="15" fillId="0" borderId="64" xfId="10" applyFont="1" applyBorder="1" applyAlignment="1" applyProtection="1">
      <alignment horizontal="center" vertical="center"/>
      <protection locked="0"/>
    </xf>
    <xf numFmtId="0" fontId="13" fillId="0" borderId="13" xfId="9" applyNumberFormat="1" applyFont="1" applyBorder="1" applyAlignment="1" applyProtection="1">
      <alignment horizontal="center" vertical="center"/>
      <protection locked="0"/>
    </xf>
    <xf numFmtId="0" fontId="15" fillId="0" borderId="4" xfId="10" applyFont="1" applyBorder="1" applyAlignment="1" applyProtection="1">
      <alignment horizontal="center" vertical="center"/>
      <protection locked="0"/>
    </xf>
    <xf numFmtId="0" fontId="15" fillId="6" borderId="4" xfId="10" applyFont="1" applyFill="1" applyBorder="1" applyAlignment="1">
      <alignment horizontal="center" vertical="center"/>
    </xf>
    <xf numFmtId="0" fontId="18" fillId="6" borderId="31" xfId="10" applyFont="1" applyFill="1" applyBorder="1" applyAlignment="1">
      <alignment horizontal="center" vertical="center"/>
    </xf>
    <xf numFmtId="0" fontId="15" fillId="6" borderId="31" xfId="10" applyFont="1" applyFill="1" applyBorder="1" applyAlignment="1">
      <alignment horizontal="center" vertical="center"/>
    </xf>
    <xf numFmtId="0" fontId="18" fillId="0" borderId="4" xfId="10" applyFont="1" applyBorder="1" applyAlignment="1" applyProtection="1">
      <alignment horizontal="center" vertical="center"/>
      <protection locked="0"/>
    </xf>
    <xf numFmtId="0" fontId="15" fillId="2" borderId="28" xfId="10" applyFont="1" applyFill="1" applyBorder="1" applyAlignment="1" applyProtection="1">
      <alignment horizontal="center" vertical="center" wrapText="1"/>
      <protection locked="0"/>
    </xf>
    <xf numFmtId="174" fontId="9" fillId="7" borderId="51" xfId="0" applyNumberFormat="1" applyFont="1" applyFill="1" applyBorder="1" applyAlignment="1">
      <alignment vertical="center"/>
    </xf>
    <xf numFmtId="0" fontId="18" fillId="7" borderId="8" xfId="10" applyFont="1" applyFill="1" applyBorder="1" applyAlignment="1">
      <alignment horizontal="center" vertical="center"/>
    </xf>
    <xf numFmtId="0" fontId="18" fillId="7" borderId="9" xfId="10" applyFont="1" applyFill="1" applyBorder="1" applyAlignment="1">
      <alignment horizontal="center" vertical="center"/>
    </xf>
    <xf numFmtId="0" fontId="18" fillId="7" borderId="66" xfId="10" applyFont="1" applyFill="1" applyBorder="1" applyAlignment="1">
      <alignment horizontal="center" vertical="center"/>
    </xf>
    <xf numFmtId="1" fontId="14" fillId="2" borderId="66" xfId="10" applyNumberFormat="1" applyFont="1" applyFill="1" applyBorder="1" applyAlignment="1">
      <alignment horizontal="center" vertical="center" wrapText="1"/>
    </xf>
    <xf numFmtId="1" fontId="14" fillId="2" borderId="8" xfId="10" applyNumberFormat="1" applyFont="1" applyFill="1" applyBorder="1" applyAlignment="1">
      <alignment horizontal="center" vertical="center" wrapText="1"/>
    </xf>
    <xf numFmtId="165" fontId="14" fillId="2" borderId="4" xfId="1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9" fontId="13" fillId="2" borderId="0" xfId="9" applyFont="1" applyFill="1" applyAlignment="1" applyProtection="1">
      <alignment vertical="center"/>
    </xf>
    <xf numFmtId="1" fontId="13" fillId="2" borderId="4" xfId="0" applyNumberFormat="1" applyFont="1" applyFill="1" applyBorder="1" applyAlignment="1">
      <alignment horizontal="center" vertical="center"/>
    </xf>
    <xf numFmtId="0" fontId="17" fillId="2" borderId="30" xfId="10" applyFont="1" applyFill="1" applyBorder="1" applyAlignment="1" applyProtection="1">
      <alignment vertical="center"/>
      <protection locked="0"/>
    </xf>
    <xf numFmtId="0" fontId="17" fillId="2" borderId="72" xfId="10" applyFont="1" applyFill="1" applyBorder="1" applyAlignment="1" applyProtection="1">
      <alignment vertical="center"/>
      <protection locked="0"/>
    </xf>
    <xf numFmtId="0" fontId="17" fillId="7" borderId="9" xfId="10" applyFont="1" applyFill="1" applyBorder="1" applyAlignment="1">
      <alignment vertical="center"/>
    </xf>
    <xf numFmtId="0" fontId="17" fillId="2" borderId="73" xfId="10" applyFont="1" applyFill="1" applyBorder="1" applyAlignment="1" applyProtection="1">
      <alignment vertical="center"/>
      <protection locked="0"/>
    </xf>
    <xf numFmtId="0" fontId="17" fillId="2" borderId="2" xfId="10" applyFont="1" applyFill="1" applyBorder="1" applyAlignment="1" applyProtection="1">
      <alignment vertical="center"/>
      <protection locked="0"/>
    </xf>
    <xf numFmtId="0" fontId="17" fillId="2" borderId="43" xfId="10" applyFont="1" applyFill="1" applyBorder="1" applyAlignment="1" applyProtection="1">
      <alignment vertical="center"/>
      <protection locked="0"/>
    </xf>
    <xf numFmtId="165" fontId="13" fillId="2" borderId="0" xfId="0" applyNumberFormat="1" applyFont="1" applyFill="1" applyAlignment="1">
      <alignment vertical="center"/>
    </xf>
    <xf numFmtId="0" fontId="2" fillId="2" borderId="5" xfId="10" applyFont="1" applyFill="1" applyBorder="1" applyAlignment="1">
      <alignment vertical="center"/>
    </xf>
    <xf numFmtId="0" fontId="28" fillId="0" borderId="45" xfId="10" applyFont="1" applyBorder="1" applyAlignment="1" applyProtection="1">
      <alignment horizontal="center" vertical="center"/>
      <protection locked="0"/>
    </xf>
    <xf numFmtId="171" fontId="10" fillId="2" borderId="0" xfId="0" applyNumberFormat="1" applyFont="1" applyFill="1" applyAlignment="1">
      <alignment horizontal="center" vertical="center" wrapText="1"/>
    </xf>
    <xf numFmtId="169" fontId="19" fillId="2" borderId="0" xfId="0" applyNumberFormat="1" applyFont="1" applyFill="1" applyAlignment="1">
      <alignment vertical="center"/>
    </xf>
    <xf numFmtId="0" fontId="13" fillId="0" borderId="21" xfId="10" applyFont="1" applyBorder="1" applyAlignment="1" applyProtection="1">
      <alignment horizontal="center" vertical="center"/>
      <protection locked="0"/>
    </xf>
    <xf numFmtId="0" fontId="13" fillId="0" borderId="45" xfId="10" applyFont="1" applyBorder="1" applyAlignment="1" applyProtection="1">
      <alignment horizontal="center" vertical="center"/>
      <protection locked="0"/>
    </xf>
    <xf numFmtId="0" fontId="16" fillId="3" borderId="27" xfId="10" applyFont="1" applyFill="1" applyBorder="1" applyAlignment="1">
      <alignment horizontal="center" vertical="center" wrapText="1"/>
    </xf>
    <xf numFmtId="0" fontId="16" fillId="3" borderId="52" xfId="1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2" borderId="4" xfId="10" applyFont="1" applyFill="1" applyBorder="1" applyAlignment="1">
      <alignment vertical="center"/>
    </xf>
    <xf numFmtId="0" fontId="15" fillId="2" borderId="4" xfId="17" applyFont="1" applyFill="1" applyBorder="1" applyAlignment="1" applyProtection="1">
      <alignment horizontal="center" vertical="center" wrapText="1"/>
      <protection locked="0"/>
    </xf>
    <xf numFmtId="1" fontId="13" fillId="0" borderId="4" xfId="12" applyNumberFormat="1" applyFont="1" applyBorder="1" applyAlignment="1" applyProtection="1">
      <alignment horizontal="center" vertical="center"/>
      <protection locked="0"/>
    </xf>
    <xf numFmtId="0" fontId="15" fillId="2" borderId="4" xfId="17" applyFont="1" applyFill="1" applyBorder="1" applyAlignment="1" applyProtection="1">
      <alignment horizontal="center" vertical="center"/>
      <protection locked="0"/>
    </xf>
    <xf numFmtId="0" fontId="15" fillId="0" borderId="2" xfId="17" applyFont="1" applyBorder="1" applyAlignment="1" applyProtection="1">
      <alignment horizontal="center" vertical="center"/>
      <protection locked="0"/>
    </xf>
    <xf numFmtId="0" fontId="15" fillId="0" borderId="3" xfId="17" applyFont="1" applyBorder="1" applyAlignment="1" applyProtection="1">
      <alignment horizontal="center" vertical="center"/>
      <protection locked="0"/>
    </xf>
    <xf numFmtId="0" fontId="17" fillId="2" borderId="4" xfId="17" applyFont="1" applyFill="1" applyBorder="1" applyAlignment="1" applyProtection="1">
      <alignment horizontal="left" vertical="center"/>
      <protection locked="0"/>
    </xf>
    <xf numFmtId="0" fontId="17" fillId="2" borderId="1" xfId="17" applyFont="1" applyFill="1" applyBorder="1" applyAlignment="1" applyProtection="1">
      <alignment vertical="center"/>
      <protection locked="0"/>
    </xf>
    <xf numFmtId="0" fontId="18" fillId="0" borderId="4" xfId="17" applyFont="1" applyBorder="1" applyAlignment="1" applyProtection="1">
      <alignment horizontal="center" vertical="center"/>
      <protection locked="0"/>
    </xf>
    <xf numFmtId="0" fontId="18" fillId="0" borderId="21" xfId="17" applyFont="1" applyBorder="1" applyAlignment="1" applyProtection="1">
      <alignment horizontal="center" vertical="center"/>
      <protection locked="0"/>
    </xf>
    <xf numFmtId="0" fontId="15" fillId="0" borderId="4" xfId="17" applyFont="1" applyBorder="1" applyAlignment="1" applyProtection="1">
      <alignment horizontal="left" vertical="center"/>
      <protection locked="0"/>
    </xf>
    <xf numFmtId="0" fontId="15" fillId="2" borderId="72" xfId="17" applyFont="1" applyFill="1" applyBorder="1" applyAlignment="1" applyProtection="1">
      <alignment horizontal="center" vertical="center" wrapText="1"/>
      <protection locked="0"/>
    </xf>
    <xf numFmtId="0" fontId="17" fillId="2" borderId="14" xfId="17" applyFont="1" applyFill="1" applyBorder="1" applyAlignment="1" applyProtection="1">
      <alignment vertical="center"/>
      <protection locked="0"/>
    </xf>
    <xf numFmtId="0" fontId="15" fillId="0" borderId="45" xfId="17" applyFont="1" applyBorder="1" applyAlignment="1" applyProtection="1">
      <alignment horizontal="center" vertical="center"/>
      <protection locked="0"/>
    </xf>
    <xf numFmtId="0" fontId="15" fillId="0" borderId="60" xfId="17" applyFont="1" applyBorder="1" applyAlignment="1" applyProtection="1">
      <alignment horizontal="center" vertical="center"/>
      <protection locked="0"/>
    </xf>
    <xf numFmtId="0" fontId="15" fillId="2" borderId="5" xfId="17" applyFont="1" applyFill="1" applyBorder="1" applyAlignment="1" applyProtection="1">
      <alignment horizontal="center" vertical="center" wrapText="1"/>
      <protection locked="0"/>
    </xf>
    <xf numFmtId="0" fontId="17" fillId="2" borderId="21" xfId="17" applyFont="1" applyFill="1" applyBorder="1" applyAlignment="1" applyProtection="1">
      <alignment horizontal="left" vertical="center"/>
      <protection locked="0"/>
    </xf>
    <xf numFmtId="0" fontId="15" fillId="0" borderId="1" xfId="17" applyFont="1" applyBorder="1" applyAlignment="1" applyProtection="1">
      <alignment vertical="center"/>
      <protection locked="0"/>
    </xf>
    <xf numFmtId="1" fontId="15" fillId="0" borderId="4" xfId="12" applyNumberFormat="1" applyFont="1" applyFill="1" applyBorder="1" applyAlignment="1" applyProtection="1">
      <alignment horizontal="center" vertical="center"/>
      <protection locked="0"/>
    </xf>
    <xf numFmtId="0" fontId="15" fillId="0" borderId="4" xfId="17" applyFont="1" applyBorder="1" applyAlignment="1" applyProtection="1">
      <alignment horizontal="center" vertical="center"/>
      <protection locked="0"/>
    </xf>
    <xf numFmtId="0" fontId="15" fillId="2" borderId="4" xfId="17" applyFont="1" applyFill="1" applyBorder="1" applyAlignment="1" applyProtection="1">
      <alignment horizontal="left" vertical="center"/>
      <protection locked="0"/>
    </xf>
    <xf numFmtId="1" fontId="15" fillId="0" borderId="4" xfId="12" applyNumberFormat="1" applyFont="1" applyBorder="1" applyAlignment="1" applyProtection="1">
      <alignment horizontal="center" vertical="center"/>
      <protection locked="0"/>
    </xf>
    <xf numFmtId="0" fontId="17" fillId="2" borderId="30" xfId="17" applyFont="1" applyFill="1" applyBorder="1" applyAlignment="1" applyProtection="1">
      <alignment vertical="center"/>
      <protection locked="0"/>
    </xf>
    <xf numFmtId="0" fontId="17" fillId="2" borderId="21" xfId="17" applyFont="1" applyFill="1" applyBorder="1" applyAlignment="1" applyProtection="1">
      <alignment vertical="center"/>
      <protection locked="0"/>
    </xf>
    <xf numFmtId="0" fontId="17" fillId="2" borderId="4" xfId="17" applyFont="1" applyFill="1" applyBorder="1" applyAlignment="1" applyProtection="1">
      <alignment vertical="center"/>
      <protection locked="0"/>
    </xf>
    <xf numFmtId="0" fontId="15" fillId="2" borderId="21" xfId="17" applyFont="1" applyFill="1" applyBorder="1" applyAlignment="1" applyProtection="1">
      <alignment vertical="center"/>
      <protection locked="0"/>
    </xf>
    <xf numFmtId="0" fontId="18" fillId="11" borderId="4" xfId="17" applyFont="1" applyFill="1" applyBorder="1" applyAlignment="1" applyProtection="1">
      <alignment horizontal="center" vertical="center"/>
      <protection locked="0"/>
    </xf>
    <xf numFmtId="0" fontId="18" fillId="11" borderId="21" xfId="17" applyFont="1" applyFill="1" applyBorder="1" applyAlignment="1" applyProtection="1">
      <alignment horizontal="center" vertical="center"/>
      <protection locked="0"/>
    </xf>
    <xf numFmtId="1" fontId="13" fillId="11" borderId="4" xfId="0" applyNumberFormat="1" applyFont="1" applyFill="1" applyBorder="1" applyAlignment="1">
      <alignment horizontal="center" vertical="center"/>
    </xf>
    <xf numFmtId="1" fontId="13" fillId="12" borderId="4" xfId="0" applyNumberFormat="1" applyFont="1" applyFill="1" applyBorder="1" applyAlignment="1">
      <alignment horizontal="center" vertical="center"/>
    </xf>
    <xf numFmtId="0" fontId="18" fillId="12" borderId="4" xfId="17" applyFont="1" applyFill="1" applyBorder="1" applyAlignment="1" applyProtection="1">
      <alignment horizontal="center" vertical="center"/>
      <protection locked="0"/>
    </xf>
    <xf numFmtId="0" fontId="18" fillId="13" borderId="21" xfId="17" applyFont="1" applyFill="1" applyBorder="1" applyAlignment="1" applyProtection="1">
      <alignment horizontal="center" vertical="center"/>
      <protection locked="0"/>
    </xf>
    <xf numFmtId="1" fontId="13" fillId="13" borderId="4" xfId="0" applyNumberFormat="1" applyFont="1" applyFill="1" applyBorder="1" applyAlignment="1">
      <alignment horizontal="center" vertical="center"/>
    </xf>
    <xf numFmtId="0" fontId="18" fillId="12" borderId="21" xfId="17" applyFont="1" applyFill="1" applyBorder="1" applyAlignment="1" applyProtection="1">
      <alignment horizontal="center" vertical="center"/>
      <protection locked="0"/>
    </xf>
    <xf numFmtId="1" fontId="8" fillId="8" borderId="4" xfId="0" applyNumberFormat="1" applyFont="1" applyFill="1" applyBorder="1" applyAlignment="1" applyProtection="1">
      <alignment horizontal="center" vertical="center"/>
      <protection locked="0"/>
    </xf>
    <xf numFmtId="0" fontId="18" fillId="13" borderId="4" xfId="17" applyFont="1" applyFill="1" applyBorder="1" applyAlignment="1" applyProtection="1">
      <alignment horizontal="center" vertical="center"/>
      <protection locked="0"/>
    </xf>
    <xf numFmtId="0" fontId="29" fillId="14" borderId="21" xfId="10" applyFont="1" applyFill="1" applyBorder="1" applyAlignment="1" applyProtection="1">
      <alignment horizontal="center" vertical="center"/>
      <protection locked="0"/>
    </xf>
    <xf numFmtId="0" fontId="18" fillId="0" borderId="21" xfId="10" applyFont="1" applyFill="1" applyBorder="1" applyAlignment="1" applyProtection="1">
      <alignment horizontal="center" vertical="center"/>
      <protection locked="0"/>
    </xf>
    <xf numFmtId="0" fontId="1" fillId="0" borderId="21" xfId="10" applyFont="1" applyFill="1" applyBorder="1" applyAlignment="1" applyProtection="1">
      <alignment horizontal="center" vertical="center"/>
      <protection locked="0"/>
    </xf>
    <xf numFmtId="0" fontId="17" fillId="0" borderId="4" xfId="17" applyFont="1" applyFill="1" applyBorder="1" applyAlignment="1" applyProtection="1">
      <alignment horizontal="left" vertical="center"/>
      <protection locked="0"/>
    </xf>
    <xf numFmtId="0" fontId="13" fillId="0" borderId="49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54" xfId="9" applyNumberFormat="1" applyFont="1" applyBorder="1" applyAlignment="1" applyProtection="1">
      <alignment horizontal="left" vertical="center"/>
      <protection locked="0"/>
    </xf>
    <xf numFmtId="0" fontId="13" fillId="0" borderId="55" xfId="9" applyNumberFormat="1" applyFont="1" applyBorder="1" applyAlignment="1" applyProtection="1">
      <alignment horizontal="left" vertical="center"/>
      <protection locked="0"/>
    </xf>
    <xf numFmtId="0" fontId="13" fillId="0" borderId="61" xfId="9" applyNumberFormat="1" applyFont="1" applyBorder="1" applyAlignment="1" applyProtection="1">
      <alignment horizontal="left" vertical="center"/>
      <protection locked="0"/>
    </xf>
    <xf numFmtId="0" fontId="13" fillId="0" borderId="71" xfId="9" applyNumberFormat="1" applyFont="1" applyBorder="1" applyAlignment="1" applyProtection="1">
      <alignment horizontal="left" vertical="center"/>
      <protection locked="0"/>
    </xf>
    <xf numFmtId="0" fontId="13" fillId="0" borderId="24" xfId="9" applyNumberFormat="1" applyFont="1" applyBorder="1" applyAlignment="1" applyProtection="1">
      <alignment horizontal="left" vertical="center"/>
      <protection locked="0"/>
    </xf>
    <xf numFmtId="0" fontId="13" fillId="0" borderId="37" xfId="9" applyNumberFormat="1" applyFont="1" applyBorder="1" applyAlignment="1" applyProtection="1">
      <alignment horizontal="left" vertical="center"/>
      <protection locked="0"/>
    </xf>
    <xf numFmtId="0" fontId="16" fillId="3" borderId="25" xfId="10" applyFont="1" applyFill="1" applyBorder="1" applyAlignment="1">
      <alignment horizontal="center" vertical="center" wrapText="1"/>
    </xf>
    <xf numFmtId="0" fontId="16" fillId="3" borderId="15" xfId="10" applyFont="1" applyFill="1" applyBorder="1" applyAlignment="1">
      <alignment horizontal="center" vertical="center" wrapText="1"/>
    </xf>
    <xf numFmtId="0" fontId="16" fillId="3" borderId="42" xfId="10" applyFont="1" applyFill="1" applyBorder="1" applyAlignment="1">
      <alignment horizontal="center" vertical="center" wrapText="1"/>
    </xf>
    <xf numFmtId="0" fontId="16" fillId="3" borderId="52" xfId="10" applyFont="1" applyFill="1" applyBorder="1" applyAlignment="1">
      <alignment horizontal="center" vertical="center" wrapText="1"/>
    </xf>
    <xf numFmtId="0" fontId="16" fillId="3" borderId="23" xfId="10" applyFont="1" applyFill="1" applyBorder="1" applyAlignment="1">
      <alignment horizontal="center" vertical="center" wrapText="1"/>
    </xf>
    <xf numFmtId="0" fontId="16" fillId="3" borderId="39" xfId="10" applyFont="1" applyFill="1" applyBorder="1" applyAlignment="1">
      <alignment horizontal="center" vertical="center" wrapText="1"/>
    </xf>
    <xf numFmtId="0" fontId="16" fillId="3" borderId="6" xfId="10" applyFont="1" applyFill="1" applyBorder="1" applyAlignment="1">
      <alignment horizontal="center" vertical="center" wrapText="1"/>
    </xf>
    <xf numFmtId="0" fontId="16" fillId="3" borderId="20" xfId="10" applyFont="1" applyFill="1" applyBorder="1" applyAlignment="1">
      <alignment horizontal="center" vertical="center" wrapText="1"/>
    </xf>
    <xf numFmtId="0" fontId="16" fillId="3" borderId="50" xfId="10" applyFont="1" applyFill="1" applyBorder="1" applyAlignment="1">
      <alignment horizontal="center" vertical="center" wrapText="1"/>
    </xf>
    <xf numFmtId="0" fontId="16" fillId="3" borderId="8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/>
    </xf>
    <xf numFmtId="0" fontId="16" fillId="3" borderId="36" xfId="10" applyFont="1" applyFill="1" applyBorder="1" applyAlignment="1">
      <alignment horizontal="center" vertical="center"/>
    </xf>
    <xf numFmtId="0" fontId="16" fillId="3" borderId="29" xfId="10" applyFont="1" applyFill="1" applyBorder="1" applyAlignment="1">
      <alignment horizontal="center" vertical="center" wrapText="1"/>
    </xf>
    <xf numFmtId="0" fontId="16" fillId="3" borderId="41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 wrapText="1"/>
    </xf>
    <xf numFmtId="0" fontId="16" fillId="3" borderId="36" xfId="10" applyFont="1" applyFill="1" applyBorder="1" applyAlignment="1">
      <alignment horizontal="center" vertical="center" wrapText="1"/>
    </xf>
    <xf numFmtId="0" fontId="16" fillId="3" borderId="57" xfId="10" applyFont="1" applyFill="1" applyBorder="1" applyAlignment="1">
      <alignment horizontal="center" vertical="center" wrapText="1"/>
    </xf>
    <xf numFmtId="0" fontId="16" fillId="3" borderId="56" xfId="10" applyFont="1" applyFill="1" applyBorder="1" applyAlignment="1">
      <alignment horizontal="center" vertical="center" wrapText="1"/>
    </xf>
    <xf numFmtId="0" fontId="16" fillId="3" borderId="46" xfId="10" applyFont="1" applyFill="1" applyBorder="1" applyAlignment="1" applyProtection="1">
      <alignment horizontal="center" vertical="center" wrapText="1"/>
      <protection locked="0"/>
    </xf>
    <xf numFmtId="0" fontId="16" fillId="3" borderId="58" xfId="10" applyFont="1" applyFill="1" applyBorder="1" applyAlignment="1" applyProtection="1">
      <alignment horizontal="center" vertical="center" wrapText="1"/>
      <protection locked="0"/>
    </xf>
    <xf numFmtId="0" fontId="16" fillId="3" borderId="27" xfId="10" applyFont="1" applyFill="1" applyBorder="1" applyAlignment="1" applyProtection="1">
      <alignment horizontal="center" vertical="center" wrapText="1"/>
      <protection locked="0"/>
    </xf>
    <xf numFmtId="0" fontId="16" fillId="3" borderId="46" xfId="10" applyFont="1" applyFill="1" applyBorder="1" applyAlignment="1">
      <alignment horizontal="center" vertical="center" wrapText="1"/>
    </xf>
    <xf numFmtId="0" fontId="16" fillId="3" borderId="27" xfId="10" applyFont="1" applyFill="1" applyBorder="1" applyAlignment="1">
      <alignment horizontal="center" vertical="center" wrapText="1"/>
    </xf>
    <xf numFmtId="0" fontId="13" fillId="0" borderId="60" xfId="9" applyNumberFormat="1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8" borderId="3" xfId="0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 applyProtection="1">
      <alignment horizontal="center" vertical="center"/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/>
    </xf>
    <xf numFmtId="9" fontId="8" fillId="8" borderId="3" xfId="12" applyFont="1" applyFill="1" applyBorder="1" applyAlignment="1" applyProtection="1">
      <alignment horizontal="left" vertical="center"/>
      <protection locked="0"/>
    </xf>
    <xf numFmtId="9" fontId="8" fillId="8" borderId="31" xfId="12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9" borderId="19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left" vertical="center" wrapText="1"/>
    </xf>
    <xf numFmtId="0" fontId="9" fillId="2" borderId="55" xfId="0" applyFont="1" applyFill="1" applyBorder="1" applyAlignment="1">
      <alignment horizontal="left" vertical="center" wrapText="1"/>
    </xf>
    <xf numFmtId="0" fontId="9" fillId="2" borderId="61" xfId="0" applyFont="1" applyFill="1" applyBorder="1" applyAlignment="1">
      <alignment horizontal="left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67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9" fillId="2" borderId="65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9" fontId="8" fillId="8" borderId="66" xfId="12" applyFont="1" applyFill="1" applyBorder="1" applyAlignment="1" applyProtection="1">
      <alignment horizontal="left" vertical="center"/>
      <protection locked="0"/>
    </xf>
    <xf numFmtId="9" fontId="8" fillId="8" borderId="48" xfId="12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169" fontId="20" fillId="8" borderId="4" xfId="0" applyNumberFormat="1" applyFont="1" applyFill="1" applyBorder="1" applyAlignment="1" applyProtection="1">
      <alignment horizontal="left" vertical="center"/>
      <protection locked="0"/>
    </xf>
    <xf numFmtId="169" fontId="20" fillId="8" borderId="33" xfId="0" applyNumberFormat="1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20" fillId="8" borderId="66" xfId="0" applyFont="1" applyFill="1" applyBorder="1" applyAlignment="1" applyProtection="1">
      <alignment horizontal="left" vertical="center"/>
      <protection locked="0"/>
    </xf>
    <xf numFmtId="0" fontId="20" fillId="8" borderId="10" xfId="0" applyFont="1" applyFill="1" applyBorder="1" applyAlignment="1" applyProtection="1">
      <alignment horizontal="left" vertical="center"/>
      <protection locked="0"/>
    </xf>
    <xf numFmtId="0" fontId="20" fillId="8" borderId="48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0" borderId="65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0" borderId="69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9" fillId="0" borderId="43" xfId="0" applyFont="1" applyBorder="1" applyAlignment="1">
      <alignment horizontal="right" vertical="center"/>
    </xf>
  </cellXfs>
  <cellStyles count="18">
    <cellStyle name="Euro" xfId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/>
    <cellStyle name="Monétaire 2" xfId="16"/>
    <cellStyle name="Monétaire_Fiche budget 7" xfId="14"/>
    <cellStyle name="Normal" xfId="0" builtinId="0"/>
    <cellStyle name="Normal 2" xfId="2"/>
    <cellStyle name="Normal 3" xfId="10"/>
    <cellStyle name="Normal 3 2" xfId="17"/>
    <cellStyle name="Normal 4" xfId="13"/>
    <cellStyle name="Pourcentage" xfId="9" builtinId="5"/>
    <cellStyle name="Pourcentage 2" xfId="11"/>
    <cellStyle name="Pourcentage 3" xfId="12"/>
  </cellStyles>
  <dxfs count="68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91"/>
  <sheetViews>
    <sheetView zoomScale="79" zoomScaleNormal="85" workbookViewId="0">
      <pane xSplit="3" ySplit="7" topLeftCell="D70" activePane="bottomRight" state="frozen"/>
      <selection pane="topRight" activeCell="D1" sqref="D1"/>
      <selection pane="bottomLeft" activeCell="A7" sqref="A7"/>
      <selection pane="bottomRight" activeCell="J13" sqref="J13"/>
    </sheetView>
  </sheetViews>
  <sheetFormatPr baseColWidth="10" defaultColWidth="11.44140625" defaultRowHeight="15.6" outlineLevelCol="1" x14ac:dyDescent="0.25"/>
  <cols>
    <col min="1" max="1" width="11.44140625" style="9"/>
    <col min="2" max="2" width="8.6640625" style="9" customWidth="1"/>
    <col min="3" max="3" width="50" style="10" customWidth="1"/>
    <col min="4" max="4" width="10.109375" style="10" customWidth="1"/>
    <col min="5" max="5" width="13" style="10" customWidth="1"/>
    <col min="6" max="6" width="9.33203125" style="10" customWidth="1"/>
    <col min="7" max="8" width="10" style="10" customWidth="1"/>
    <col min="9" max="11" width="11.44140625" style="10" customWidth="1"/>
    <col min="12" max="12" width="12.6640625" style="10" customWidth="1"/>
    <col min="13" max="15" width="12.33203125" style="10" customWidth="1"/>
    <col min="16" max="16" width="11.6640625" style="11" customWidth="1"/>
    <col min="17" max="27" width="12.33203125" style="10" customWidth="1"/>
    <col min="28" max="28" width="34.109375" style="10" customWidth="1"/>
    <col min="29" max="29" width="11.33203125" style="10" hidden="1" customWidth="1" outlineLevel="1"/>
    <col min="30" max="30" width="10.77734375" style="10" hidden="1" customWidth="1" outlineLevel="1"/>
    <col min="31" max="31" width="11.44140625" style="10" collapsed="1"/>
    <col min="32" max="16384" width="11.44140625" style="10"/>
  </cols>
  <sheetData>
    <row r="1" spans="1:30" ht="6" customHeight="1" x14ac:dyDescent="0.25"/>
    <row r="2" spans="1:30" ht="31.2" x14ac:dyDescent="0.25">
      <c r="A2" s="10"/>
      <c r="H2" s="392" t="s">
        <v>0</v>
      </c>
      <c r="I2" s="390" t="s">
        <v>1</v>
      </c>
      <c r="J2" s="391" t="s">
        <v>2</v>
      </c>
      <c r="K2" s="390" t="s">
        <v>3</v>
      </c>
      <c r="L2" s="390" t="s">
        <v>4</v>
      </c>
      <c r="M2" s="401"/>
    </row>
    <row r="3" spans="1:30" ht="18" customHeight="1" x14ac:dyDescent="0.25">
      <c r="A3" s="10"/>
      <c r="G3" s="25" t="s">
        <v>5</v>
      </c>
      <c r="H3" s="389">
        <f>SUM(I3:L3)</f>
        <v>1351</v>
      </c>
      <c r="I3" s="394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+SUMIFS($AC$8:$AC$88,$G$8:$G$88,Paramétrage!$D$13,Enseignements!$D$8:$D$88,"mixte")+SUMIFS($AC$8:$AC$88,$G$8:$G$88,Paramétrage!$D$13,Enseignements!$D$8:$D$88,"FI/FC")+SUMIFS($AC$8:$AC$88,$G$8:$G$88,Paramétrage!$D$14,Enseignements!$D$8:$D$88,"mixte")+SUMIFS($AC$8:$AC$88,$G$8:$G$88,Paramétrage!$D$14,Enseignements!$D$8:$D$88,"FI/FC")+SUMIFS($AC$8:$AC$88,$G$8:$G$88,Paramétrage!$D$20,Enseignements!$D$8:$D$88,"mixte")+SUMIFS($AC$8:$AC$88,$G$8:$G$88,Paramétrage!$D$20,Enseignements!$D$8:$D$88,"FI/FC")</f>
        <v>370</v>
      </c>
      <c r="J3" s="394">
        <f>SUMIF($G$8:$G$88,Paramétrage!$D$9,$AC$8:$AC$88)</f>
        <v>560</v>
      </c>
      <c r="K3" s="394">
        <f>SUMIFS($AC$8:$AC$88,$G$8:$G$88,Paramétrage!$D$15,Enseignements!$D$8:$D$88,"mixte")+SUMIFS($AC$8:$AC$88,$G$8:$G$88,Paramétrage!$D$15,Enseignements!$D$8:$D$88,"FI/FC")</f>
        <v>180</v>
      </c>
      <c r="L3" s="394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241</v>
      </c>
      <c r="M3" s="401"/>
    </row>
    <row r="4" spans="1:30" ht="18" customHeight="1" x14ac:dyDescent="0.25">
      <c r="A4" s="10"/>
      <c r="G4" s="25" t="s">
        <v>6</v>
      </c>
      <c r="H4" s="389">
        <f>SUM(I4:L4)</f>
        <v>553</v>
      </c>
      <c r="I4" s="442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+SUMIFS($AC$8:$AC$88,$G$8:$G$88,Paramétrage!$D$13,Enseignements!$D$8:$D$88,"mixte")+SUMIFS($AC$8:$AC$88,$G$8:$G$88,Paramétrage!$D$13,Enseignements!$D$8:$D$88,"ALT")+SUMIFS($AC$8:$AC$88,$G$8:$G$88,Paramétrage!$D$14,Enseignements!$D$8:$D$88,"mixte")+SUMIFS($AC$8:$AC$88,$G$8:$G$88,Paramétrage!$D$14,Enseignements!$D$8:$D$88,"ALT")+SUMIFS($AC$8:$AC$88,$G$8:$G$88,Paramétrage!$D$20,Enseignements!$D$8:$D$88,"mixte")+SUMIFS($AC$8:$AC$88,$G$8:$G$88,Paramétrage!$D$20,Enseignements!$D$8:$D$88,"ALT")</f>
        <v>352</v>
      </c>
      <c r="J4" s="394">
        <f>SUMIF($G$8:$G$88,Paramétrage!$D$12,$AC$8:$AC$88)</f>
        <v>0</v>
      </c>
      <c r="K4" s="446">
        <f>SUMIFS($AC$8:$AC$88,$G$8:$G$88,Paramétrage!$D$15,Enseignements!$D$8:$D$88,"mixte")+SUMIFS($AC$8:$AC$88,$G$8:$G$88,Paramétrage!$D$15,Enseignements!$D$8:$D$88,"ALT")</f>
        <v>50</v>
      </c>
      <c r="L4" s="443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151</v>
      </c>
      <c r="M4" s="401"/>
      <c r="W4" s="393"/>
    </row>
    <row r="5" spans="1:30" ht="6.45" customHeight="1" thickBot="1" x14ac:dyDescent="0.3">
      <c r="A5" s="10"/>
      <c r="B5" s="10"/>
    </row>
    <row r="6" spans="1:30" ht="68.55" customHeight="1" x14ac:dyDescent="0.3">
      <c r="A6" s="12"/>
      <c r="B6" s="469" t="s">
        <v>7</v>
      </c>
      <c r="C6" s="473" t="s">
        <v>8</v>
      </c>
      <c r="D6" s="473" t="s">
        <v>9</v>
      </c>
      <c r="E6" s="475" t="s">
        <v>10</v>
      </c>
      <c r="F6" s="473" t="s">
        <v>11</v>
      </c>
      <c r="G6" s="477" t="s">
        <v>12</v>
      </c>
      <c r="H6" s="477" t="s">
        <v>13</v>
      </c>
      <c r="I6" s="475" t="s">
        <v>14</v>
      </c>
      <c r="J6" s="479" t="s">
        <v>15</v>
      </c>
      <c r="K6" s="471" t="s">
        <v>16</v>
      </c>
      <c r="L6" s="464" t="s">
        <v>17</v>
      </c>
      <c r="M6" s="464"/>
      <c r="N6" s="464"/>
      <c r="O6" s="465"/>
      <c r="P6" s="42" t="s">
        <v>18</v>
      </c>
      <c r="Q6" s="42" t="s">
        <v>19</v>
      </c>
      <c r="R6" s="13" t="s">
        <v>20</v>
      </c>
      <c r="S6" s="13" t="s">
        <v>21</v>
      </c>
      <c r="T6" s="65" t="s">
        <v>22</v>
      </c>
      <c r="U6" s="358" t="s">
        <v>23</v>
      </c>
      <c r="V6" s="359" t="s">
        <v>24</v>
      </c>
      <c r="W6" s="359" t="s">
        <v>25</v>
      </c>
      <c r="X6" s="359" t="s">
        <v>26</v>
      </c>
      <c r="Y6" s="360" t="s">
        <v>27</v>
      </c>
      <c r="Z6" s="463" t="s">
        <v>28</v>
      </c>
      <c r="AA6" s="464"/>
      <c r="AB6" s="465"/>
      <c r="AC6" s="484" t="s">
        <v>29</v>
      </c>
      <c r="AD6" s="465" t="s">
        <v>30</v>
      </c>
    </row>
    <row r="7" spans="1:30" ht="16.2" thickBot="1" x14ac:dyDescent="0.35">
      <c r="A7" s="12"/>
      <c r="B7" s="470"/>
      <c r="C7" s="474"/>
      <c r="D7" s="474"/>
      <c r="E7" s="476"/>
      <c r="F7" s="474"/>
      <c r="G7" s="478"/>
      <c r="H7" s="478"/>
      <c r="I7" s="476"/>
      <c r="J7" s="480"/>
      <c r="K7" s="472"/>
      <c r="L7" s="467"/>
      <c r="M7" s="467"/>
      <c r="N7" s="467"/>
      <c r="O7" s="468"/>
      <c r="P7" s="409"/>
      <c r="Q7" s="14">
        <f t="shared" ref="Q7:Y7" si="0">Q48+Q89</f>
        <v>328</v>
      </c>
      <c r="R7" s="14">
        <f t="shared" si="0"/>
        <v>95</v>
      </c>
      <c r="S7" s="14">
        <f t="shared" si="0"/>
        <v>423</v>
      </c>
      <c r="T7" s="387">
        <f t="shared" si="0"/>
        <v>423</v>
      </c>
      <c r="U7" s="388">
        <f t="shared" si="0"/>
        <v>238.5</v>
      </c>
      <c r="V7" s="14">
        <f t="shared" si="0"/>
        <v>0</v>
      </c>
      <c r="W7" s="14">
        <f t="shared" si="0"/>
        <v>209.5</v>
      </c>
      <c r="X7" s="14">
        <f t="shared" si="0"/>
        <v>0</v>
      </c>
      <c r="Y7" s="14">
        <f t="shared" si="0"/>
        <v>448</v>
      </c>
      <c r="Z7" s="466"/>
      <c r="AA7" s="467"/>
      <c r="AB7" s="468"/>
      <c r="AC7" s="485"/>
      <c r="AD7" s="468"/>
    </row>
    <row r="8" spans="1:30" ht="15.45" customHeight="1" x14ac:dyDescent="0.25">
      <c r="A8" s="481" t="s">
        <v>31</v>
      </c>
      <c r="B8" s="415" t="s">
        <v>32</v>
      </c>
      <c r="C8" s="420" t="s">
        <v>33</v>
      </c>
      <c r="D8" s="395" t="s">
        <v>34</v>
      </c>
      <c r="E8" s="421" t="s">
        <v>35</v>
      </c>
      <c r="F8" s="416">
        <v>1</v>
      </c>
      <c r="G8" s="417" t="s">
        <v>36</v>
      </c>
      <c r="H8" s="440">
        <v>14</v>
      </c>
      <c r="I8" s="418">
        <f>'Recettes et simulat'!$E$6</f>
        <v>25</v>
      </c>
      <c r="J8" s="419">
        <v>250</v>
      </c>
      <c r="K8" s="49" t="s">
        <v>37</v>
      </c>
      <c r="L8" s="486" t="s">
        <v>38</v>
      </c>
      <c r="M8" s="458"/>
      <c r="N8" s="458"/>
      <c r="O8" s="459"/>
      <c r="P8" s="361">
        <f>IF(OR(J8="",G8=Paramétrage!$D$9,G8=Paramétrage!$D$12,G8=Paramétrage!$D$15,G8=Paramétrage!$D$18,G8=Paramétrage!$D$22,G8=Paramétrage!$D$25,AND(G8&lt;&gt;Paramétrage!$D$9,K8="Mut+ext")),0,ROUNDUP(I8/J8,0))</f>
        <v>0</v>
      </c>
      <c r="Q8" s="17">
        <f>IF(OR(G8="",K8="Mut+ext"),0,IF(VLOOKUP(G8,Paramétrage!$D$6:$F$27,3,0)=0,0,IF(J8="","saisir capacité",H8*P8*VLOOKUP(G8,Paramétrage!$D$6:$F$27,2,0))))</f>
        <v>0</v>
      </c>
      <c r="R8" s="54"/>
      <c r="S8" s="15">
        <f>IF(OR(G8="",K8="Mut+ext"),0,IF(ISERROR(Q8+R8)=TRUE,Q8,Q8+R8))</f>
        <v>0</v>
      </c>
      <c r="T8" s="55">
        <f>IF(G8="",0,IF(ISERROR(R8+Q8*VLOOKUP(G8,Paramétrage!$D$6:$F$27,3,0))=TRUE,S8,R8+Q8*VLOOKUP(G8,Paramétrage!$D$6:$F$27,3,0)))</f>
        <v>0</v>
      </c>
      <c r="U8" s="37"/>
      <c r="V8" s="37"/>
      <c r="W8" s="37"/>
      <c r="X8" s="37"/>
      <c r="Y8" s="362">
        <f>SUM(U8:X8)</f>
        <v>0</v>
      </c>
      <c r="Z8" s="457"/>
      <c r="AA8" s="458"/>
      <c r="AB8" s="459"/>
      <c r="AC8" s="56">
        <f>IF(B8="",0,IF(E8="",0,IF(SUMIF($B$8:$B$47,B8,$I$8:$I$47)=0,0,IF(E8="Obligatoire",AD8/I8,IF(F8="",AD8/SUMIF($B$8:$B$47,B8,$I$8:$I$47),AD8/(SUMIF($B$8:$B$47,B8,$I$8:$I$47)/F8))))))</f>
        <v>14</v>
      </c>
      <c r="AD8" s="57">
        <f>H8*I8</f>
        <v>350</v>
      </c>
    </row>
    <row r="9" spans="1:30" x14ac:dyDescent="0.25">
      <c r="A9" s="482"/>
      <c r="B9" s="415" t="s">
        <v>39</v>
      </c>
      <c r="C9" s="420" t="s">
        <v>40</v>
      </c>
      <c r="D9" s="29" t="s">
        <v>34</v>
      </c>
      <c r="E9" s="421" t="s">
        <v>35</v>
      </c>
      <c r="F9" s="416">
        <v>1</v>
      </c>
      <c r="G9" s="417" t="s">
        <v>36</v>
      </c>
      <c r="H9" s="440">
        <v>4</v>
      </c>
      <c r="I9" s="418">
        <f>'Recettes et simulat'!$E$6</f>
        <v>25</v>
      </c>
      <c r="J9" s="419">
        <v>250</v>
      </c>
      <c r="K9" s="34" t="s">
        <v>37</v>
      </c>
      <c r="L9" s="461" t="s">
        <v>38</v>
      </c>
      <c r="M9" s="461"/>
      <c r="N9" s="461"/>
      <c r="O9" s="462"/>
      <c r="P9" s="361">
        <f>IF(OR(J9="",G9=Paramétrage!$D$9,G9=Paramétrage!$D$12,G9=Paramétrage!$D$15,G9=Paramétrage!$D$18,G9=Paramétrage!$D$22,G9=Paramétrage!$D$25,AND(G9&lt;&gt;Paramétrage!$D$9,K9="Mut+ext")),0,ROUNDUP(I9/J9,0))</f>
        <v>0</v>
      </c>
      <c r="Q9" s="17">
        <f>IF(OR(G9="",K9="Mut+ext"),0,IF(VLOOKUP(G9,Paramétrage!$D$6:$F$27,3,0)=0,0,IF(J9="","saisir capacité",H9*P9*VLOOKUP(G9,Paramétrage!$D$6:$F$27,2,0))))</f>
        <v>0</v>
      </c>
      <c r="R9" s="33"/>
      <c r="S9" s="15">
        <f t="shared" ref="S9:S70" si="1">IF(OR(G9="",K9="Mut+ext"),0,IF(ISERROR(Q9+R9)=TRUE,Q9,Q9+R9))</f>
        <v>0</v>
      </c>
      <c r="T9" s="28">
        <f>IF(G9="",0,IF(ISERROR(R9+Q9*VLOOKUP(G9,Paramétrage!$D$6:$F$27,3,0))=TRUE,S9,R9+Q9*VLOOKUP(G9,Paramétrage!$D$6:$F$27,3,0)))</f>
        <v>0</v>
      </c>
      <c r="U9" s="37"/>
      <c r="V9" s="37"/>
      <c r="W9" s="37"/>
      <c r="X9" s="37"/>
      <c r="Y9" s="362">
        <f t="shared" ref="Y9:Y27" si="2">SUM(U9:X9)</f>
        <v>0</v>
      </c>
      <c r="Z9" s="454"/>
      <c r="AA9" s="455"/>
      <c r="AB9" s="456"/>
      <c r="AC9" s="27">
        <f>IF(B9="",0,IF(E9="",0,IF(SUMIF($B$8:$B$47,B9,$I$8:$I$47)=0,0,IF(E9="Obligatoire",AD9/I9,IF(F9="",AD9/SUMIF($B$8:$B$47,B9,$I$8:$I$47),AD9/(SUMIF($B$8:$B$47,B9,$I$8:$I$47)/F9))))))</f>
        <v>4</v>
      </c>
      <c r="AD9" s="16">
        <f>H9*I9</f>
        <v>100</v>
      </c>
    </row>
    <row r="10" spans="1:30" x14ac:dyDescent="0.25">
      <c r="A10" s="482"/>
      <c r="B10" s="415" t="s">
        <v>41</v>
      </c>
      <c r="C10" s="420" t="s">
        <v>42</v>
      </c>
      <c r="D10" s="396" t="s">
        <v>34</v>
      </c>
      <c r="E10" s="421" t="s">
        <v>35</v>
      </c>
      <c r="F10" s="416">
        <v>1</v>
      </c>
      <c r="G10" s="417" t="s">
        <v>43</v>
      </c>
      <c r="H10" s="444">
        <v>50</v>
      </c>
      <c r="I10" s="418">
        <f>'Recettes et simulat'!$E$6</f>
        <v>25</v>
      </c>
      <c r="J10" s="419">
        <v>25</v>
      </c>
      <c r="K10" s="34"/>
      <c r="L10" s="455"/>
      <c r="M10" s="455"/>
      <c r="N10" s="455"/>
      <c r="O10" s="456"/>
      <c r="P10" s="361">
        <f>IF(OR(J10="",G10=Paramétrage!$D$9,G10=Paramétrage!$D$12,G10=Paramétrage!$D$15,G10=Paramétrage!$D$18,G10=Paramétrage!$D$22,G10=Paramétrage!$D$25,AND(G10&lt;&gt;Paramétrage!$D$9,K10="Mut+ext")),0,ROUNDUP(I10/J10,0))</f>
        <v>0</v>
      </c>
      <c r="Q10" s="17">
        <f>IF(OR(G10="",K10="Mut+ext"),0,IF(VLOOKUP(G10,Paramétrage!$D$6:$F$27,3,0)=0,0,IF(J10="","saisir capacité",H10*P10*VLOOKUP(G10,Paramétrage!$D$6:$F$27,2,0))))</f>
        <v>0</v>
      </c>
      <c r="R10" s="33"/>
      <c r="S10" s="15">
        <f t="shared" si="1"/>
        <v>0</v>
      </c>
      <c r="T10" s="28">
        <f>IF(G10="",0,IF(ISERROR(R10+Q10*VLOOKUP(G10,Paramétrage!$D$6:$F$27,3,0))=TRUE,S10,R10+Q10*VLOOKUP(G10,Paramétrage!$D$6:$F$27,3,0)))</f>
        <v>0</v>
      </c>
      <c r="U10" s="37"/>
      <c r="V10" s="37"/>
      <c r="W10" s="37"/>
      <c r="X10" s="37"/>
      <c r="Y10" s="362">
        <f t="shared" si="2"/>
        <v>0</v>
      </c>
      <c r="Z10" s="454"/>
      <c r="AA10" s="455"/>
      <c r="AB10" s="456"/>
      <c r="AC10" s="27">
        <f t="shared" ref="AC10:AC47" si="3">IF(B10="",0,IF(E10="",0,IF(SUMIF($B$8:$B$47,B10,$I$8:$I$47)=0,0,IF(E10="Obligatoire",AD10/I10,IF(F10="",AD10/SUMIF($B$8:$B$47,B10,$I$8:$I$47),AD10/(SUMIF($B$8:$B$47,B10,$I$8:$I$47)/F10))))))</f>
        <v>50</v>
      </c>
      <c r="AD10" s="16">
        <f>H10*I10</f>
        <v>1250</v>
      </c>
    </row>
    <row r="11" spans="1:30" x14ac:dyDescent="0.25">
      <c r="A11" s="482"/>
      <c r="B11" s="415" t="s">
        <v>44</v>
      </c>
      <c r="C11" s="453" t="s">
        <v>318</v>
      </c>
      <c r="D11" s="29" t="s">
        <v>34</v>
      </c>
      <c r="E11" s="421" t="s">
        <v>35</v>
      </c>
      <c r="F11" s="416">
        <v>1</v>
      </c>
      <c r="G11" s="417" t="s">
        <v>45</v>
      </c>
      <c r="H11" s="440">
        <v>42</v>
      </c>
      <c r="I11" s="418">
        <f>'Recettes et simulat'!$E$6</f>
        <v>25</v>
      </c>
      <c r="J11" s="419">
        <v>25</v>
      </c>
      <c r="K11" s="34"/>
      <c r="L11" s="455"/>
      <c r="M11" s="455"/>
      <c r="N11" s="455"/>
      <c r="O11" s="456"/>
      <c r="P11" s="361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42</v>
      </c>
      <c r="R11" s="33"/>
      <c r="S11" s="15">
        <f t="shared" si="1"/>
        <v>42</v>
      </c>
      <c r="T11" s="28">
        <f>IF(G11="",0,IF(ISERROR(R11+Q11*VLOOKUP(G11,Paramétrage!$D$6:$F$27,3,0))=TRUE,S11,R11+Q11*VLOOKUP(G11,Paramétrage!$D$6:$F$27,3,0)))</f>
        <v>42</v>
      </c>
      <c r="U11" s="37">
        <f>T11-W11</f>
        <v>14</v>
      </c>
      <c r="V11" s="37"/>
      <c r="W11" s="37">
        <f>2/3*T11</f>
        <v>28</v>
      </c>
      <c r="X11" s="37"/>
      <c r="Y11" s="362">
        <f t="shared" si="2"/>
        <v>42</v>
      </c>
      <c r="Z11" s="454"/>
      <c r="AA11" s="455"/>
      <c r="AB11" s="456"/>
      <c r="AC11" s="27">
        <f t="shared" si="3"/>
        <v>42</v>
      </c>
      <c r="AD11" s="16">
        <f>H11*I11</f>
        <v>1050</v>
      </c>
    </row>
    <row r="12" spans="1:30" x14ac:dyDescent="0.25">
      <c r="A12" s="482"/>
      <c r="B12" s="415" t="s">
        <v>46</v>
      </c>
      <c r="C12" s="420" t="s">
        <v>47</v>
      </c>
      <c r="D12" s="396" t="s">
        <v>34</v>
      </c>
      <c r="E12" s="421" t="s">
        <v>35</v>
      </c>
      <c r="F12" s="416">
        <v>1</v>
      </c>
      <c r="G12" s="417" t="s">
        <v>45</v>
      </c>
      <c r="H12" s="440">
        <v>54</v>
      </c>
      <c r="I12" s="418">
        <f>'Recettes et simulat'!$E$6</f>
        <v>25</v>
      </c>
      <c r="J12" s="419">
        <v>25</v>
      </c>
      <c r="K12" s="34"/>
      <c r="L12" s="455"/>
      <c r="M12" s="455"/>
      <c r="N12" s="455"/>
      <c r="O12" s="456"/>
      <c r="P12" s="361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54</v>
      </c>
      <c r="R12" s="33"/>
      <c r="S12" s="15">
        <f t="shared" si="1"/>
        <v>54</v>
      </c>
      <c r="T12" s="28">
        <f>IF(G12="",0,IF(ISERROR(R12+Q12*VLOOKUP(G12,Paramétrage!$D$6:$F$27,3,0))=TRUE,S12,R12+Q12*VLOOKUP(G12,Paramétrage!$D$6:$F$27,3,0)))</f>
        <v>54</v>
      </c>
      <c r="U12" s="37"/>
      <c r="V12" s="37"/>
      <c r="W12" s="37">
        <f>S12</f>
        <v>54</v>
      </c>
      <c r="X12" s="37"/>
      <c r="Y12" s="362">
        <f t="shared" si="2"/>
        <v>54</v>
      </c>
      <c r="Z12" s="454"/>
      <c r="AA12" s="455"/>
      <c r="AB12" s="456"/>
      <c r="AC12" s="27">
        <f t="shared" si="3"/>
        <v>54</v>
      </c>
      <c r="AD12" s="16">
        <f t="shared" ref="AD12:AD13" si="4">H12*I12</f>
        <v>1350</v>
      </c>
    </row>
    <row r="13" spans="1:30" x14ac:dyDescent="0.25">
      <c r="A13" s="482"/>
      <c r="B13" s="415" t="s">
        <v>48</v>
      </c>
      <c r="C13" s="420" t="s">
        <v>49</v>
      </c>
      <c r="D13" s="29" t="s">
        <v>34</v>
      </c>
      <c r="E13" s="421" t="s">
        <v>35</v>
      </c>
      <c r="F13" s="416">
        <v>1</v>
      </c>
      <c r="G13" s="417" t="s">
        <v>45</v>
      </c>
      <c r="H13" s="440">
        <v>12</v>
      </c>
      <c r="I13" s="418">
        <f>'Recettes et simulat'!$E$6</f>
        <v>25</v>
      </c>
      <c r="J13" s="419">
        <v>25</v>
      </c>
      <c r="K13" s="34"/>
      <c r="L13" s="455"/>
      <c r="M13" s="455"/>
      <c r="N13" s="455"/>
      <c r="O13" s="456"/>
      <c r="P13" s="361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12</v>
      </c>
      <c r="R13" s="33"/>
      <c r="S13" s="15">
        <f t="shared" si="1"/>
        <v>12</v>
      </c>
      <c r="T13" s="28">
        <f>IF(G13="",0,IF(ISERROR(R13+Q13*VLOOKUP(G13,Paramétrage!$D$6:$F$27,3,0))=TRUE,S13,R13+Q13*VLOOKUP(G13,Paramétrage!$D$6:$F$27,3,0)))</f>
        <v>12</v>
      </c>
      <c r="U13" s="37">
        <f>S13</f>
        <v>12</v>
      </c>
      <c r="V13" s="37"/>
      <c r="W13" s="37"/>
      <c r="X13" s="37"/>
      <c r="Y13" s="362">
        <f t="shared" si="2"/>
        <v>12</v>
      </c>
      <c r="Z13" s="454"/>
      <c r="AA13" s="455"/>
      <c r="AB13" s="456"/>
      <c r="AC13" s="27">
        <f t="shared" si="3"/>
        <v>12</v>
      </c>
      <c r="AD13" s="16">
        <f t="shared" si="4"/>
        <v>300</v>
      </c>
    </row>
    <row r="14" spans="1:30" x14ac:dyDescent="0.25">
      <c r="A14" s="482"/>
      <c r="B14" s="415" t="s">
        <v>50</v>
      </c>
      <c r="C14" s="420" t="s">
        <v>51</v>
      </c>
      <c r="D14" s="32" t="s">
        <v>52</v>
      </c>
      <c r="E14" s="421" t="s">
        <v>53</v>
      </c>
      <c r="F14" s="416">
        <v>1</v>
      </c>
      <c r="G14" s="433" t="s">
        <v>54</v>
      </c>
      <c r="H14" s="422">
        <v>100</v>
      </c>
      <c r="I14" s="418">
        <f>'Recettes et simulat'!$E$6-'Recettes et simulat'!$F$18-'Recettes et simulat'!$F$19</f>
        <v>21</v>
      </c>
      <c r="J14" s="419"/>
      <c r="K14" s="34"/>
      <c r="L14" s="455"/>
      <c r="M14" s="455"/>
      <c r="N14" s="455"/>
      <c r="O14" s="456"/>
      <c r="P14" s="361">
        <f>IF(OR(J14="",G14=Paramétrage!$D$9,G14=Paramétrage!$D$12,G14=Paramétrage!$D$15,G14=Paramétrage!$D$18,G14=Paramétrage!$D$22,G14=Paramétrage!$D$25,AND(G14&lt;&gt;Paramétrage!$D$9,K14="Mut+ext")),0,ROUNDUP(I14/J14,0))</f>
        <v>0</v>
      </c>
      <c r="Q14" s="17">
        <f>IF(OR(G14="",K14="Mut+ext"),0,IF(VLOOKUP(G14,Paramétrage!$D$6:$F$27,3,0)=0,0,IF(J14="","saisir capacité",H14*P14*VLOOKUP(G14,Paramétrage!$D$6:$F$27,2,0))))</f>
        <v>0</v>
      </c>
      <c r="R14" s="33">
        <v>12</v>
      </c>
      <c r="S14" s="15">
        <f t="shared" si="1"/>
        <v>12</v>
      </c>
      <c r="T14" s="28">
        <f>IF(G14="",0,IF(ISERROR(R14+Q14*VLOOKUP(G14,Paramétrage!$D$6:$F$27,3,0))=TRUE,S14,R14+Q14*VLOOKUP(G14,Paramétrage!$D$6:$F$27,3,0)))</f>
        <v>12</v>
      </c>
      <c r="U14" s="37">
        <f>S14/2</f>
        <v>6</v>
      </c>
      <c r="V14" s="37"/>
      <c r="W14" s="37">
        <f>S14-U14</f>
        <v>6</v>
      </c>
      <c r="X14" s="37"/>
      <c r="Y14" s="362">
        <f t="shared" si="2"/>
        <v>12</v>
      </c>
      <c r="Z14" s="454"/>
      <c r="AA14" s="455"/>
      <c r="AB14" s="456"/>
      <c r="AC14" s="27">
        <f t="shared" si="3"/>
        <v>100</v>
      </c>
      <c r="AD14" s="16">
        <f t="shared" ref="AD14:AD31" si="5">H14*I14</f>
        <v>2100</v>
      </c>
    </row>
    <row r="15" spans="1:30" x14ac:dyDescent="0.25">
      <c r="A15" s="482"/>
      <c r="B15" s="415" t="s">
        <v>55</v>
      </c>
      <c r="C15" s="420" t="s">
        <v>56</v>
      </c>
      <c r="D15" s="32" t="s">
        <v>57</v>
      </c>
      <c r="E15" s="421" t="s">
        <v>53</v>
      </c>
      <c r="F15" s="416">
        <v>1</v>
      </c>
      <c r="G15" s="433" t="s">
        <v>54</v>
      </c>
      <c r="H15" s="445">
        <v>25</v>
      </c>
      <c r="I15" s="427">
        <f>+'Recettes et simulat'!$F$18+'Recettes et simulat'!$F$19</f>
        <v>4</v>
      </c>
      <c r="J15" s="419"/>
      <c r="K15" s="34"/>
      <c r="L15" s="455"/>
      <c r="M15" s="455"/>
      <c r="N15" s="455"/>
      <c r="O15" s="456"/>
      <c r="P15" s="361">
        <f>IF(OR(J15="",G15=Paramétrage!$D$9,G15=Paramétrage!$D$12,G15=Paramétrage!$D$15,G15=Paramétrage!$D$18,G15=Paramétrage!$D$22,G15=Paramétrage!$D$25,AND(G15&lt;&gt;Paramétrage!$D$9,K15="Mut+ext")),0,ROUNDUP(I15/J15,0))</f>
        <v>0</v>
      </c>
      <c r="Q15" s="17">
        <f>IF(OR(G15="",K15="Mut+ext"),0,IF(VLOOKUP(G15,Paramétrage!$D$6:$F$27,3,0)=0,0,IF(J15="","saisir capacité",H15*P15*VLOOKUP(G15,Paramétrage!$D$6:$F$27,2,0))))</f>
        <v>0</v>
      </c>
      <c r="R15" s="450">
        <f>2*I15</f>
        <v>8</v>
      </c>
      <c r="S15" s="15">
        <f t="shared" si="1"/>
        <v>8</v>
      </c>
      <c r="T15" s="28">
        <f>IF(G15="",0,IF(ISERROR(R15+Q15*VLOOKUP(G15,Paramétrage!$D$6:$F$27,3,0))=TRUE,S15,R15+Q15*VLOOKUP(G15,Paramétrage!$D$6:$F$27,3,0)))</f>
        <v>8</v>
      </c>
      <c r="U15" s="37">
        <f>S15/2</f>
        <v>4</v>
      </c>
      <c r="V15" s="37"/>
      <c r="W15" s="37">
        <f>S15-U15</f>
        <v>4</v>
      </c>
      <c r="X15" s="37"/>
      <c r="Y15" s="362">
        <f t="shared" si="2"/>
        <v>8</v>
      </c>
      <c r="Z15" s="454"/>
      <c r="AA15" s="455"/>
      <c r="AB15" s="456"/>
      <c r="AC15" s="27">
        <f t="shared" si="3"/>
        <v>25</v>
      </c>
      <c r="AD15" s="16">
        <f t="shared" si="5"/>
        <v>100</v>
      </c>
    </row>
    <row r="16" spans="1:30" x14ac:dyDescent="0.25">
      <c r="A16" s="482"/>
      <c r="B16" s="415" t="s">
        <v>58</v>
      </c>
      <c r="C16" s="420" t="s">
        <v>59</v>
      </c>
      <c r="D16" s="32" t="s">
        <v>34</v>
      </c>
      <c r="E16" s="421" t="s">
        <v>35</v>
      </c>
      <c r="F16" s="416">
        <v>1</v>
      </c>
      <c r="G16" s="433" t="s">
        <v>60</v>
      </c>
      <c r="H16" s="440">
        <v>18</v>
      </c>
      <c r="I16" s="418">
        <f>'Recettes et simulat'!$E$6</f>
        <v>25</v>
      </c>
      <c r="J16" s="419">
        <v>25</v>
      </c>
      <c r="K16" s="34"/>
      <c r="L16" s="455"/>
      <c r="M16" s="455"/>
      <c r="N16" s="455"/>
      <c r="O16" s="456"/>
      <c r="P16" s="361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18</v>
      </c>
      <c r="R16" s="33"/>
      <c r="S16" s="15">
        <f t="shared" si="1"/>
        <v>18</v>
      </c>
      <c r="T16" s="28">
        <f>IF(G16="",0,IF(ISERROR(R16+Q16*VLOOKUP(G16,Paramétrage!$D$6:$F$27,3,0))=TRUE,S16,R16+Q16*VLOOKUP(G16,Paramétrage!$D$6:$F$27,3,0)))</f>
        <v>18</v>
      </c>
      <c r="U16" s="37"/>
      <c r="V16" s="37"/>
      <c r="W16" s="37">
        <f>S16</f>
        <v>18</v>
      </c>
      <c r="X16" s="37"/>
      <c r="Y16" s="362">
        <f t="shared" si="2"/>
        <v>18</v>
      </c>
      <c r="Z16" s="454"/>
      <c r="AA16" s="455"/>
      <c r="AB16" s="456"/>
      <c r="AC16" s="27">
        <f t="shared" si="3"/>
        <v>18</v>
      </c>
      <c r="AD16" s="16">
        <f t="shared" si="5"/>
        <v>450</v>
      </c>
    </row>
    <row r="17" spans="1:30" x14ac:dyDescent="0.25">
      <c r="A17" s="482"/>
      <c r="B17" s="415" t="s">
        <v>61</v>
      </c>
      <c r="C17" s="420" t="s">
        <v>62</v>
      </c>
      <c r="D17" s="29" t="s">
        <v>34</v>
      </c>
      <c r="E17" s="421" t="s">
        <v>35</v>
      </c>
      <c r="F17" s="416">
        <v>1</v>
      </c>
      <c r="G17" s="433" t="s">
        <v>45</v>
      </c>
      <c r="H17" s="440">
        <v>36</v>
      </c>
      <c r="I17" s="418">
        <f>'Recettes et simulat'!$E$6</f>
        <v>25</v>
      </c>
      <c r="J17" s="419">
        <v>25</v>
      </c>
      <c r="K17" s="34"/>
      <c r="L17" s="455"/>
      <c r="M17" s="455"/>
      <c r="N17" s="455"/>
      <c r="O17" s="456"/>
      <c r="P17" s="361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36</v>
      </c>
      <c r="R17" s="33"/>
      <c r="S17" s="15">
        <f t="shared" si="1"/>
        <v>36</v>
      </c>
      <c r="T17" s="28">
        <f>IF(G17="",0,IF(ISERROR(R17+Q17*VLOOKUP(G17,Paramétrage!$D$6:$F$27,3,0))=TRUE,S17,R17+Q17*VLOOKUP(G17,Paramétrage!$D$6:$F$27,3,0)))</f>
        <v>36</v>
      </c>
      <c r="U17" s="37">
        <f>S17</f>
        <v>36</v>
      </c>
      <c r="V17" s="37"/>
      <c r="W17" s="37"/>
      <c r="X17" s="37"/>
      <c r="Y17" s="362">
        <f t="shared" si="2"/>
        <v>36</v>
      </c>
      <c r="Z17" s="454"/>
      <c r="AA17" s="455"/>
      <c r="AB17" s="456"/>
      <c r="AC17" s="27">
        <f t="shared" si="3"/>
        <v>36</v>
      </c>
      <c r="AD17" s="16">
        <f t="shared" si="5"/>
        <v>900</v>
      </c>
    </row>
    <row r="18" spans="1:30" x14ac:dyDescent="0.25">
      <c r="A18" s="482"/>
      <c r="B18" s="415" t="s">
        <v>63</v>
      </c>
      <c r="C18" s="420" t="s">
        <v>64</v>
      </c>
      <c r="D18" s="396" t="s">
        <v>34</v>
      </c>
      <c r="E18" s="421" t="s">
        <v>35</v>
      </c>
      <c r="F18" s="416">
        <v>1</v>
      </c>
      <c r="G18" s="433" t="s">
        <v>45</v>
      </c>
      <c r="H18" s="440">
        <v>24</v>
      </c>
      <c r="I18" s="418">
        <f>'Recettes et simulat'!$E$6</f>
        <v>25</v>
      </c>
      <c r="J18" s="419">
        <v>25</v>
      </c>
      <c r="K18" s="34"/>
      <c r="L18" s="455"/>
      <c r="M18" s="455"/>
      <c r="N18" s="455"/>
      <c r="O18" s="456"/>
      <c r="P18" s="361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24</v>
      </c>
      <c r="R18" s="33"/>
      <c r="S18" s="15">
        <f t="shared" si="1"/>
        <v>24</v>
      </c>
      <c r="T18" s="28">
        <f>IF(G18="",0,IF(ISERROR(R18+Q18*VLOOKUP(G18,Paramétrage!$D$6:$F$27,3,0))=TRUE,S18,R18+Q18*VLOOKUP(G18,Paramétrage!$D$6:$F$27,3,0)))</f>
        <v>24</v>
      </c>
      <c r="U18" s="37">
        <f>S18</f>
        <v>24</v>
      </c>
      <c r="V18" s="37"/>
      <c r="W18" s="37"/>
      <c r="X18" s="37"/>
      <c r="Y18" s="362">
        <f t="shared" si="2"/>
        <v>24</v>
      </c>
      <c r="Z18" s="454"/>
      <c r="AA18" s="455"/>
      <c r="AB18" s="456"/>
      <c r="AC18" s="27">
        <f t="shared" si="3"/>
        <v>24</v>
      </c>
      <c r="AD18" s="16">
        <f t="shared" si="5"/>
        <v>600</v>
      </c>
    </row>
    <row r="19" spans="1:30" x14ac:dyDescent="0.25">
      <c r="A19" s="482"/>
      <c r="B19" s="415" t="s">
        <v>65</v>
      </c>
      <c r="C19" s="420" t="s">
        <v>66</v>
      </c>
      <c r="D19" s="29" t="s">
        <v>34</v>
      </c>
      <c r="E19" s="421" t="s">
        <v>35</v>
      </c>
      <c r="F19" s="416">
        <v>1</v>
      </c>
      <c r="G19" s="433" t="s">
        <v>45</v>
      </c>
      <c r="H19" s="440">
        <v>42</v>
      </c>
      <c r="I19" s="418">
        <f>'Recettes et simulat'!$E$6</f>
        <v>25</v>
      </c>
      <c r="J19" s="419">
        <v>25</v>
      </c>
      <c r="K19" s="34"/>
      <c r="L19" s="455"/>
      <c r="M19" s="455"/>
      <c r="N19" s="455"/>
      <c r="O19" s="456"/>
      <c r="P19" s="361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42</v>
      </c>
      <c r="R19" s="33"/>
      <c r="S19" s="15">
        <f t="shared" si="1"/>
        <v>42</v>
      </c>
      <c r="T19" s="28">
        <f>IF(G19="",0,IF(ISERROR(R19+Q19*VLOOKUP(G19,Paramétrage!$D$6:$F$27,3,0))=TRUE,S19,R19+Q19*VLOOKUP(G19,Paramétrage!$D$6:$F$27,3,0)))</f>
        <v>42</v>
      </c>
      <c r="U19" s="37"/>
      <c r="V19" s="37"/>
      <c r="W19" s="37">
        <f>S19</f>
        <v>42</v>
      </c>
      <c r="X19" s="37"/>
      <c r="Y19" s="362">
        <f t="shared" si="2"/>
        <v>42</v>
      </c>
      <c r="Z19" s="454"/>
      <c r="AA19" s="455"/>
      <c r="AB19" s="456"/>
      <c r="AC19" s="27">
        <f t="shared" si="3"/>
        <v>42</v>
      </c>
      <c r="AD19" s="16">
        <f t="shared" si="5"/>
        <v>1050</v>
      </c>
    </row>
    <row r="20" spans="1:30" x14ac:dyDescent="0.25">
      <c r="A20" s="482"/>
      <c r="B20" s="415" t="s">
        <v>65</v>
      </c>
      <c r="C20" s="420" t="s">
        <v>66</v>
      </c>
      <c r="D20" s="396" t="s">
        <v>57</v>
      </c>
      <c r="E20" s="421" t="s">
        <v>35</v>
      </c>
      <c r="F20" s="416">
        <v>1</v>
      </c>
      <c r="G20" s="433" t="s">
        <v>54</v>
      </c>
      <c r="H20" s="449">
        <v>25</v>
      </c>
      <c r="I20" s="418">
        <f>'Recettes et simulat'!$E$6</f>
        <v>25</v>
      </c>
      <c r="J20" s="419">
        <v>25</v>
      </c>
      <c r="K20" s="34"/>
      <c r="L20" s="455"/>
      <c r="M20" s="455"/>
      <c r="N20" s="455"/>
      <c r="O20" s="456"/>
      <c r="P20" s="361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33"/>
      <c r="S20" s="15">
        <f t="shared" si="1"/>
        <v>0</v>
      </c>
      <c r="T20" s="28">
        <f>IF(G20="",0,IF(ISERROR(R20+Q20*VLOOKUP(G20,Paramétrage!$D$6:$F$27,3,0))=TRUE,S20,R20+Q20*VLOOKUP(G20,Paramétrage!$D$6:$F$27,3,0)))</f>
        <v>0</v>
      </c>
      <c r="U20" s="37"/>
      <c r="V20" s="37"/>
      <c r="W20" s="37"/>
      <c r="X20" s="37"/>
      <c r="Y20" s="362">
        <f t="shared" si="2"/>
        <v>0</v>
      </c>
      <c r="Z20" s="454"/>
      <c r="AA20" s="455"/>
      <c r="AB20" s="456"/>
      <c r="AC20" s="27">
        <f t="shared" si="3"/>
        <v>25</v>
      </c>
      <c r="AD20" s="16">
        <f t="shared" si="5"/>
        <v>625</v>
      </c>
    </row>
    <row r="21" spans="1:30" x14ac:dyDescent="0.25">
      <c r="A21" s="482"/>
      <c r="B21" s="415" t="s">
        <v>65</v>
      </c>
      <c r="C21" s="420" t="s">
        <v>66</v>
      </c>
      <c r="D21" s="29" t="s">
        <v>52</v>
      </c>
      <c r="E21" s="421" t="s">
        <v>35</v>
      </c>
      <c r="F21" s="416">
        <v>1</v>
      </c>
      <c r="G21" s="433" t="s">
        <v>54</v>
      </c>
      <c r="H21" s="422">
        <v>80</v>
      </c>
      <c r="I21" s="418">
        <f>'Recettes et simulat'!$E$6</f>
        <v>25</v>
      </c>
      <c r="J21" s="419">
        <v>25</v>
      </c>
      <c r="K21" s="34"/>
      <c r="L21" s="455"/>
      <c r="M21" s="455"/>
      <c r="N21" s="455"/>
      <c r="O21" s="456"/>
      <c r="P21" s="361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406"/>
      <c r="S21" s="15">
        <f t="shared" si="1"/>
        <v>0</v>
      </c>
      <c r="T21" s="28">
        <f>IF(G21="",0,IF(ISERROR(R21+Q21*VLOOKUP(G21,Paramétrage!$D$6:$F$27,3,0))=TRUE,S21,R21+Q21*VLOOKUP(G21,Paramétrage!$D$6:$F$27,3,0)))</f>
        <v>0</v>
      </c>
      <c r="U21" s="403"/>
      <c r="V21" s="403"/>
      <c r="W21" s="37"/>
      <c r="X21" s="37"/>
      <c r="Y21" s="362">
        <f t="shared" si="2"/>
        <v>0</v>
      </c>
      <c r="Z21" s="454"/>
      <c r="AA21" s="455"/>
      <c r="AB21" s="456"/>
      <c r="AC21" s="27">
        <f t="shared" si="3"/>
        <v>80</v>
      </c>
      <c r="AD21" s="16">
        <f t="shared" si="5"/>
        <v>2000</v>
      </c>
    </row>
    <row r="22" spans="1:30" x14ac:dyDescent="0.25">
      <c r="A22" s="482"/>
      <c r="B22" s="415" t="s">
        <v>67</v>
      </c>
      <c r="C22" s="420" t="s">
        <v>68</v>
      </c>
      <c r="D22" s="29" t="s">
        <v>34</v>
      </c>
      <c r="E22" s="421" t="s">
        <v>35</v>
      </c>
      <c r="F22" s="416">
        <v>1</v>
      </c>
      <c r="G22" s="433" t="s">
        <v>45</v>
      </c>
      <c r="H22" s="440">
        <v>24</v>
      </c>
      <c r="I22" s="418">
        <f>'Recettes et simulat'!$E$6</f>
        <v>25</v>
      </c>
      <c r="J22" s="419">
        <v>25</v>
      </c>
      <c r="K22" s="34"/>
      <c r="L22" s="455"/>
      <c r="M22" s="455"/>
      <c r="N22" s="455"/>
      <c r="O22" s="456"/>
      <c r="P22" s="361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24</v>
      </c>
      <c r="R22" s="33"/>
      <c r="S22" s="15">
        <f t="shared" si="1"/>
        <v>24</v>
      </c>
      <c r="T22" s="28">
        <f>IF(G22="",0,IF(ISERROR(R22+Q22*VLOOKUP(G22,Paramétrage!$D$6:$F$27,3,0))=TRUE,S22,R22+Q22*VLOOKUP(G22,Paramétrage!$D$6:$F$27,3,0)))</f>
        <v>24</v>
      </c>
      <c r="U22" s="37">
        <f>S22</f>
        <v>24</v>
      </c>
      <c r="V22" s="37"/>
      <c r="W22" s="37"/>
      <c r="X22" s="37"/>
      <c r="Y22" s="362">
        <f t="shared" si="2"/>
        <v>24</v>
      </c>
      <c r="Z22" s="454"/>
      <c r="AA22" s="455"/>
      <c r="AB22" s="456"/>
      <c r="AC22" s="27">
        <f t="shared" si="3"/>
        <v>24</v>
      </c>
      <c r="AD22" s="16">
        <f t="shared" si="5"/>
        <v>600</v>
      </c>
    </row>
    <row r="23" spans="1:30" x14ac:dyDescent="0.25">
      <c r="A23" s="482"/>
      <c r="B23" s="415" t="s">
        <v>69</v>
      </c>
      <c r="C23" s="424" t="s">
        <v>70</v>
      </c>
      <c r="D23" s="29" t="s">
        <v>34</v>
      </c>
      <c r="E23" s="431" t="s">
        <v>35</v>
      </c>
      <c r="F23" s="432">
        <v>1</v>
      </c>
      <c r="G23" s="433" t="s">
        <v>45</v>
      </c>
      <c r="H23" s="440">
        <v>27</v>
      </c>
      <c r="I23" s="418">
        <f>'Recettes et simulat'!$E$6</f>
        <v>25</v>
      </c>
      <c r="J23" s="419">
        <v>25</v>
      </c>
      <c r="K23" s="34"/>
      <c r="L23" s="455"/>
      <c r="M23" s="455"/>
      <c r="N23" s="455"/>
      <c r="O23" s="456"/>
      <c r="P23" s="361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27</v>
      </c>
      <c r="R23" s="33"/>
      <c r="S23" s="15">
        <f t="shared" si="1"/>
        <v>27</v>
      </c>
      <c r="T23" s="28">
        <f>IF(G23="",0,IF(ISERROR(R23+Q23*VLOOKUP(G23,Paramétrage!$D$6:$F$27,3,0))=TRUE,S23,R23+Q23*VLOOKUP(G23,Paramétrage!$D$6:$F$27,3,0)))</f>
        <v>27</v>
      </c>
      <c r="U23" s="37"/>
      <c r="V23" s="37"/>
      <c r="W23" s="37">
        <f>S23</f>
        <v>27</v>
      </c>
      <c r="X23" s="37"/>
      <c r="Y23" s="362">
        <f t="shared" si="2"/>
        <v>27</v>
      </c>
      <c r="Z23" s="454"/>
      <c r="AA23" s="455"/>
      <c r="AB23" s="456"/>
      <c r="AC23" s="27">
        <f t="shared" si="3"/>
        <v>27</v>
      </c>
      <c r="AD23" s="16">
        <f t="shared" si="5"/>
        <v>675</v>
      </c>
    </row>
    <row r="24" spans="1:30" ht="15.45" customHeight="1" x14ac:dyDescent="0.25">
      <c r="A24" s="482"/>
      <c r="B24" s="415" t="s">
        <v>71</v>
      </c>
      <c r="C24" s="424" t="s">
        <v>72</v>
      </c>
      <c r="D24" s="29" t="s">
        <v>34</v>
      </c>
      <c r="E24" s="421" t="s">
        <v>53</v>
      </c>
      <c r="F24" s="416">
        <v>1</v>
      </c>
      <c r="G24" s="433" t="s">
        <v>45</v>
      </c>
      <c r="H24" s="440">
        <v>12</v>
      </c>
      <c r="I24" s="427">
        <v>6</v>
      </c>
      <c r="J24" s="419">
        <v>25</v>
      </c>
      <c r="K24" s="34" t="s">
        <v>37</v>
      </c>
      <c r="L24" s="455" t="s">
        <v>73</v>
      </c>
      <c r="M24" s="455"/>
      <c r="N24" s="455"/>
      <c r="O24" s="456"/>
      <c r="P24" s="361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3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7"/>
      <c r="V24" s="37"/>
      <c r="W24" s="37"/>
      <c r="X24" s="37"/>
      <c r="Y24" s="362">
        <f t="shared" si="2"/>
        <v>0</v>
      </c>
      <c r="Z24" s="454"/>
      <c r="AA24" s="455"/>
      <c r="AB24" s="456"/>
      <c r="AC24" s="27">
        <f t="shared" si="3"/>
        <v>2.88</v>
      </c>
      <c r="AD24" s="16">
        <f t="shared" si="5"/>
        <v>72</v>
      </c>
    </row>
    <row r="25" spans="1:30" x14ac:dyDescent="0.25">
      <c r="A25" s="482"/>
      <c r="B25" s="415" t="s">
        <v>71</v>
      </c>
      <c r="C25" s="424" t="s">
        <v>74</v>
      </c>
      <c r="D25" s="29" t="s">
        <v>34</v>
      </c>
      <c r="E25" s="421" t="s">
        <v>53</v>
      </c>
      <c r="F25" s="416">
        <v>1</v>
      </c>
      <c r="G25" s="433" t="s">
        <v>45</v>
      </c>
      <c r="H25" s="422">
        <v>12</v>
      </c>
      <c r="I25" s="427">
        <v>6</v>
      </c>
      <c r="J25" s="419">
        <v>25</v>
      </c>
      <c r="K25" s="34" t="s">
        <v>37</v>
      </c>
      <c r="L25" s="455" t="s">
        <v>73</v>
      </c>
      <c r="M25" s="455"/>
      <c r="N25" s="455"/>
      <c r="O25" s="456"/>
      <c r="P25" s="361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9"/>
      <c r="W25" s="39"/>
      <c r="X25" s="39"/>
      <c r="Y25" s="362">
        <f t="shared" si="2"/>
        <v>0</v>
      </c>
      <c r="Z25" s="454"/>
      <c r="AA25" s="455"/>
      <c r="AB25" s="456"/>
      <c r="AC25" s="27">
        <f t="shared" si="3"/>
        <v>2.88</v>
      </c>
      <c r="AD25" s="16">
        <f t="shared" si="5"/>
        <v>72</v>
      </c>
    </row>
    <row r="26" spans="1:30" x14ac:dyDescent="0.25">
      <c r="A26" s="482"/>
      <c r="B26" s="415" t="s">
        <v>71</v>
      </c>
      <c r="C26" s="424" t="s">
        <v>75</v>
      </c>
      <c r="D26" s="396" t="s">
        <v>34</v>
      </c>
      <c r="E26" s="421" t="s">
        <v>53</v>
      </c>
      <c r="F26" s="416">
        <v>1</v>
      </c>
      <c r="G26" s="433" t="s">
        <v>45</v>
      </c>
      <c r="H26" s="422">
        <v>12</v>
      </c>
      <c r="I26" s="427">
        <v>6</v>
      </c>
      <c r="J26" s="419">
        <v>25</v>
      </c>
      <c r="K26" s="34" t="s">
        <v>37</v>
      </c>
      <c r="L26" s="455" t="s">
        <v>73</v>
      </c>
      <c r="M26" s="455"/>
      <c r="N26" s="455"/>
      <c r="O26" s="456"/>
      <c r="P26" s="361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7"/>
      <c r="V26" s="38"/>
      <c r="W26" s="38"/>
      <c r="X26" s="38"/>
      <c r="Y26" s="362">
        <f t="shared" si="2"/>
        <v>0</v>
      </c>
      <c r="Z26" s="454"/>
      <c r="AA26" s="455"/>
      <c r="AB26" s="456"/>
      <c r="AC26" s="27">
        <f t="shared" si="3"/>
        <v>2.88</v>
      </c>
      <c r="AD26" s="16">
        <f t="shared" si="5"/>
        <v>72</v>
      </c>
    </row>
    <row r="27" spans="1:30" x14ac:dyDescent="0.25">
      <c r="A27" s="482"/>
      <c r="B27" s="415" t="s">
        <v>71</v>
      </c>
      <c r="C27" s="424" t="s">
        <v>76</v>
      </c>
      <c r="D27" s="29" t="s">
        <v>34</v>
      </c>
      <c r="E27" s="421" t="s">
        <v>53</v>
      </c>
      <c r="F27" s="416">
        <v>1</v>
      </c>
      <c r="G27" s="433" t="s">
        <v>45</v>
      </c>
      <c r="H27" s="423">
        <v>12</v>
      </c>
      <c r="I27" s="427">
        <v>7</v>
      </c>
      <c r="J27" s="419">
        <v>25</v>
      </c>
      <c r="K27" s="34" t="s">
        <v>37</v>
      </c>
      <c r="L27" s="455" t="s">
        <v>73</v>
      </c>
      <c r="M27" s="455"/>
      <c r="N27" s="455"/>
      <c r="O27" s="456"/>
      <c r="P27" s="361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77"/>
      <c r="S27" s="378">
        <f t="shared" si="1"/>
        <v>0</v>
      </c>
      <c r="T27" s="379">
        <f>IF(G27="",0,IF(ISERROR(R27+Q27*VLOOKUP(G27,Paramétrage!$D$6:$F$27,3,0))=TRUE,S27,R27+Q27*VLOOKUP(G27,Paramétrage!$D$6:$F$27,3,0)))</f>
        <v>0</v>
      </c>
      <c r="U27" s="38"/>
      <c r="V27" s="38"/>
      <c r="W27" s="38"/>
      <c r="X27" s="38"/>
      <c r="Y27" s="380">
        <f t="shared" si="2"/>
        <v>0</v>
      </c>
      <c r="Z27" s="454"/>
      <c r="AA27" s="455"/>
      <c r="AB27" s="456"/>
      <c r="AC27" s="27">
        <f t="shared" si="3"/>
        <v>3.36</v>
      </c>
      <c r="AD27" s="16">
        <f t="shared" si="5"/>
        <v>84</v>
      </c>
    </row>
    <row r="28" spans="1:30" ht="15.45" customHeight="1" x14ac:dyDescent="0.25">
      <c r="A28" s="482"/>
      <c r="B28" s="415" t="s">
        <v>77</v>
      </c>
      <c r="C28" s="420" t="s">
        <v>78</v>
      </c>
      <c r="D28" s="29" t="s">
        <v>52</v>
      </c>
      <c r="E28" s="421" t="s">
        <v>53</v>
      </c>
      <c r="F28" s="416">
        <v>1</v>
      </c>
      <c r="G28" s="433" t="s">
        <v>45</v>
      </c>
      <c r="H28" s="422">
        <v>25</v>
      </c>
      <c r="I28" s="418">
        <v>13</v>
      </c>
      <c r="J28" s="419">
        <v>25</v>
      </c>
      <c r="K28" s="34" t="s">
        <v>37</v>
      </c>
      <c r="L28" s="455"/>
      <c r="M28" s="455"/>
      <c r="N28" s="455"/>
      <c r="O28" s="456"/>
      <c r="P28" s="371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2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7">
        <v>25</v>
      </c>
      <c r="V28" s="37"/>
      <c r="W28" s="37"/>
      <c r="X28" s="37"/>
      <c r="Y28" s="362">
        <f>SUM(U28:X28)</f>
        <v>25</v>
      </c>
      <c r="Z28" s="460"/>
      <c r="AA28" s="461"/>
      <c r="AB28" s="462"/>
      <c r="AC28" s="27">
        <f t="shared" si="3"/>
        <v>25</v>
      </c>
      <c r="AD28" s="16">
        <f t="shared" si="5"/>
        <v>325</v>
      </c>
    </row>
    <row r="29" spans="1:30" x14ac:dyDescent="0.25">
      <c r="A29" s="482"/>
      <c r="B29" s="415" t="s">
        <v>79</v>
      </c>
      <c r="C29" s="420" t="s">
        <v>80</v>
      </c>
      <c r="D29" s="29" t="s">
        <v>34</v>
      </c>
      <c r="E29" s="426" t="s">
        <v>35</v>
      </c>
      <c r="F29" s="416">
        <v>1</v>
      </c>
      <c r="G29" s="433" t="s">
        <v>45</v>
      </c>
      <c r="H29" s="441">
        <v>18</v>
      </c>
      <c r="I29" s="418">
        <f>'Recettes et simulat'!$E$6</f>
        <v>25</v>
      </c>
      <c r="J29" s="419">
        <v>60</v>
      </c>
      <c r="K29" s="376" t="s">
        <v>81</v>
      </c>
      <c r="L29" s="455" t="s">
        <v>82</v>
      </c>
      <c r="M29" s="455"/>
      <c r="N29" s="455"/>
      <c r="O29" s="456"/>
      <c r="P29" s="361">
        <f>IF(OR(J29="",G29=Paramétrage!$D$9,G29=Paramétrage!$D$12,G29=Paramétrage!$D$15,G29=Paramétrage!$D$18,G29=Paramétrage!$D$22,G29=Paramétrage!$D$25,AND(G29&lt;&gt;Paramétrage!$D$9,K29="Mut+ext")),0,ROUNDUP(I29/J29,0))</f>
        <v>1</v>
      </c>
      <c r="Q29" s="17">
        <f>IF(OR(G29="",K29="Mut+ext"),0,IF(VLOOKUP(G29,Paramétrage!$D$6:$F$27,3,0)=0,0,IF(J29="","saisir capacité",H29*P29*VLOOKUP(G29,Paramétrage!$D$6:$F$27,2,0))))</f>
        <v>18</v>
      </c>
      <c r="R29" s="33">
        <v>2</v>
      </c>
      <c r="S29" s="15">
        <f t="shared" si="1"/>
        <v>20</v>
      </c>
      <c r="T29" s="28">
        <f>IF(G29="",0,IF(ISERROR(R29+Q29*VLOOKUP(G29,Paramétrage!$D$6:$F$27,3,0))=TRUE,S29,R29+Q29*VLOOKUP(G29,Paramétrage!$D$6:$F$27,3,0)))</f>
        <v>20</v>
      </c>
      <c r="U29" s="37">
        <f>S29</f>
        <v>20</v>
      </c>
      <c r="V29" s="37"/>
      <c r="W29" s="37"/>
      <c r="X29" s="37"/>
      <c r="Y29" s="362">
        <f t="shared" ref="Y29:Y47" si="6">SUM(U29:X29)</f>
        <v>20</v>
      </c>
      <c r="Z29" s="454"/>
      <c r="AA29" s="455"/>
      <c r="AB29" s="456"/>
      <c r="AC29" s="27">
        <f t="shared" si="3"/>
        <v>18</v>
      </c>
      <c r="AD29" s="16">
        <f t="shared" si="5"/>
        <v>450</v>
      </c>
    </row>
    <row r="30" spans="1:30" x14ac:dyDescent="0.25">
      <c r="A30" s="482"/>
      <c r="B30" s="415" t="s">
        <v>83</v>
      </c>
      <c r="C30" s="430" t="s">
        <v>84</v>
      </c>
      <c r="D30" s="32" t="s">
        <v>34</v>
      </c>
      <c r="E30" s="426" t="s">
        <v>53</v>
      </c>
      <c r="F30" s="416">
        <v>1</v>
      </c>
      <c r="G30" s="433" t="s">
        <v>85</v>
      </c>
      <c r="H30" s="447">
        <v>6</v>
      </c>
      <c r="I30" s="418">
        <v>12</v>
      </c>
      <c r="J30" s="419">
        <v>12</v>
      </c>
      <c r="K30" s="34"/>
      <c r="L30" s="455"/>
      <c r="M30" s="455"/>
      <c r="N30" s="455"/>
      <c r="O30" s="456"/>
      <c r="P30" s="361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62">
        <f t="shared" si="6"/>
        <v>0</v>
      </c>
      <c r="Z30" s="454"/>
      <c r="AA30" s="455"/>
      <c r="AB30" s="456"/>
      <c r="AC30" s="27">
        <f t="shared" si="3"/>
        <v>6</v>
      </c>
      <c r="AD30" s="16">
        <f t="shared" si="5"/>
        <v>72</v>
      </c>
    </row>
    <row r="31" spans="1:30" x14ac:dyDescent="0.25">
      <c r="A31" s="482"/>
      <c r="B31" s="429" t="s">
        <v>86</v>
      </c>
      <c r="C31" s="430" t="s">
        <v>87</v>
      </c>
      <c r="D31" s="32" t="s">
        <v>34</v>
      </c>
      <c r="E31" s="426" t="s">
        <v>35</v>
      </c>
      <c r="F31" s="416">
        <v>1</v>
      </c>
      <c r="G31" s="433" t="s">
        <v>85</v>
      </c>
      <c r="H31" s="447">
        <v>35</v>
      </c>
      <c r="I31" s="418">
        <f>'Recettes et simulat'!$E$6</f>
        <v>25</v>
      </c>
      <c r="J31" s="419">
        <v>24</v>
      </c>
      <c r="K31" s="34"/>
      <c r="L31" s="455"/>
      <c r="M31" s="455"/>
      <c r="N31" s="455"/>
      <c r="O31" s="456"/>
      <c r="P31" s="361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62">
        <f t="shared" si="6"/>
        <v>0</v>
      </c>
      <c r="Z31" s="454"/>
      <c r="AA31" s="455"/>
      <c r="AB31" s="456"/>
      <c r="AC31" s="27">
        <f t="shared" si="3"/>
        <v>35</v>
      </c>
      <c r="AD31" s="16">
        <f t="shared" si="5"/>
        <v>875</v>
      </c>
    </row>
    <row r="32" spans="1:30" x14ac:dyDescent="0.25">
      <c r="A32" s="482"/>
      <c r="B32" s="51"/>
      <c r="C32" s="29"/>
      <c r="D32" s="32"/>
      <c r="E32" s="48"/>
      <c r="F32" s="30"/>
      <c r="G32" s="377"/>
      <c r="H32" s="40"/>
      <c r="I32" s="37"/>
      <c r="J32" s="44"/>
      <c r="K32" s="34"/>
      <c r="L32" s="455"/>
      <c r="M32" s="455"/>
      <c r="N32" s="455"/>
      <c r="O32" s="456"/>
      <c r="P32" s="361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62">
        <f t="shared" si="6"/>
        <v>0</v>
      </c>
      <c r="Z32" s="454"/>
      <c r="AA32" s="455"/>
      <c r="AB32" s="456"/>
      <c r="AC32" s="27">
        <f t="shared" si="3"/>
        <v>0</v>
      </c>
      <c r="AD32" s="16">
        <f t="shared" ref="AD32:AD37" si="7">H32*I32</f>
        <v>0</v>
      </c>
    </row>
    <row r="33" spans="1:30" x14ac:dyDescent="0.25">
      <c r="A33" s="482"/>
      <c r="B33" s="51"/>
      <c r="C33" s="29"/>
      <c r="D33" s="29"/>
      <c r="E33" s="48"/>
      <c r="F33" s="30"/>
      <c r="G33" s="377"/>
      <c r="H33" s="40"/>
      <c r="I33" s="37"/>
      <c r="J33" s="44"/>
      <c r="K33" s="34"/>
      <c r="L33" s="455"/>
      <c r="M33" s="455"/>
      <c r="N33" s="455"/>
      <c r="O33" s="456"/>
      <c r="P33" s="361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62">
        <f t="shared" si="6"/>
        <v>0</v>
      </c>
      <c r="Z33" s="454"/>
      <c r="AA33" s="455"/>
      <c r="AB33" s="456"/>
      <c r="AC33" s="27">
        <f t="shared" si="3"/>
        <v>0</v>
      </c>
      <c r="AD33" s="16">
        <f t="shared" ref="AD33:AD34" si="8">H33*I33</f>
        <v>0</v>
      </c>
    </row>
    <row r="34" spans="1:30" x14ac:dyDescent="0.25">
      <c r="A34" s="482"/>
      <c r="B34" s="51"/>
      <c r="C34" s="29"/>
      <c r="D34" s="48"/>
      <c r="E34" s="32"/>
      <c r="F34" s="30"/>
      <c r="G34" s="377"/>
      <c r="H34" s="40"/>
      <c r="I34" s="37"/>
      <c r="J34" s="44"/>
      <c r="K34" s="34"/>
      <c r="L34" s="455"/>
      <c r="M34" s="455"/>
      <c r="N34" s="455"/>
      <c r="O34" s="456"/>
      <c r="P34" s="361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3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62">
        <f t="shared" si="6"/>
        <v>0</v>
      </c>
      <c r="Z34" s="454"/>
      <c r="AA34" s="455"/>
      <c r="AB34" s="456"/>
      <c r="AC34" s="27">
        <f t="shared" si="3"/>
        <v>0</v>
      </c>
      <c r="AD34" s="16">
        <f t="shared" si="8"/>
        <v>0</v>
      </c>
    </row>
    <row r="35" spans="1:30" x14ac:dyDescent="0.25">
      <c r="A35" s="482"/>
      <c r="B35" s="51"/>
      <c r="C35" s="29"/>
      <c r="D35" s="48"/>
      <c r="E35" s="32"/>
      <c r="F35" s="30"/>
      <c r="G35" s="377"/>
      <c r="H35" s="40"/>
      <c r="I35" s="37"/>
      <c r="J35" s="44"/>
      <c r="K35" s="34"/>
      <c r="L35" s="455"/>
      <c r="M35" s="455"/>
      <c r="N35" s="455"/>
      <c r="O35" s="456"/>
      <c r="P35" s="361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2">
        <f t="shared" si="6"/>
        <v>0</v>
      </c>
      <c r="Z35" s="454"/>
      <c r="AA35" s="455"/>
      <c r="AB35" s="456"/>
      <c r="AC35" s="27">
        <f t="shared" si="3"/>
        <v>0</v>
      </c>
      <c r="AD35" s="16">
        <f t="shared" si="7"/>
        <v>0</v>
      </c>
    </row>
    <row r="36" spans="1:30" x14ac:dyDescent="0.25">
      <c r="A36" s="482"/>
      <c r="B36" s="51"/>
      <c r="C36" s="29"/>
      <c r="D36" s="48"/>
      <c r="E36" s="32"/>
      <c r="F36" s="30"/>
      <c r="G36" s="377"/>
      <c r="H36" s="40"/>
      <c r="I36" s="37"/>
      <c r="J36" s="44"/>
      <c r="K36" s="34"/>
      <c r="L36" s="455"/>
      <c r="M36" s="455"/>
      <c r="N36" s="455"/>
      <c r="O36" s="456"/>
      <c r="P36" s="361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62">
        <f t="shared" si="6"/>
        <v>0</v>
      </c>
      <c r="Z36" s="454"/>
      <c r="AA36" s="455"/>
      <c r="AB36" s="456"/>
      <c r="AC36" s="27">
        <f t="shared" si="3"/>
        <v>0</v>
      </c>
      <c r="AD36" s="16">
        <f t="shared" si="7"/>
        <v>0</v>
      </c>
    </row>
    <row r="37" spans="1:30" x14ac:dyDescent="0.25">
      <c r="A37" s="482"/>
      <c r="B37" s="51"/>
      <c r="C37" s="29"/>
      <c r="D37" s="48"/>
      <c r="E37" s="32"/>
      <c r="F37" s="30"/>
      <c r="G37" s="31"/>
      <c r="H37" s="40"/>
      <c r="I37" s="37"/>
      <c r="J37" s="44"/>
      <c r="K37" s="34"/>
      <c r="L37" s="455"/>
      <c r="M37" s="455"/>
      <c r="N37" s="455"/>
      <c r="O37" s="456"/>
      <c r="P37" s="361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2">
        <f t="shared" si="6"/>
        <v>0</v>
      </c>
      <c r="Z37" s="454"/>
      <c r="AA37" s="455"/>
      <c r="AB37" s="456"/>
      <c r="AC37" s="27">
        <f t="shared" si="3"/>
        <v>0</v>
      </c>
      <c r="AD37" s="16">
        <f t="shared" si="7"/>
        <v>0</v>
      </c>
    </row>
    <row r="38" spans="1:30" x14ac:dyDescent="0.25">
      <c r="A38" s="482"/>
      <c r="B38" s="51"/>
      <c r="C38" s="29"/>
      <c r="D38" s="48"/>
      <c r="E38" s="32"/>
      <c r="F38" s="30"/>
      <c r="G38" s="31"/>
      <c r="H38" s="40"/>
      <c r="I38" s="37"/>
      <c r="J38" s="44"/>
      <c r="K38" s="34"/>
      <c r="L38" s="455"/>
      <c r="M38" s="455"/>
      <c r="N38" s="455"/>
      <c r="O38" s="456"/>
      <c r="P38" s="361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62">
        <f t="shared" si="6"/>
        <v>0</v>
      </c>
      <c r="Z38" s="454"/>
      <c r="AA38" s="455"/>
      <c r="AB38" s="456"/>
      <c r="AC38" s="27">
        <f t="shared" si="3"/>
        <v>0</v>
      </c>
      <c r="AD38" s="16">
        <f t="shared" ref="AD38:AD41" si="9">H38*I38</f>
        <v>0</v>
      </c>
    </row>
    <row r="39" spans="1:30" x14ac:dyDescent="0.25">
      <c r="A39" s="482"/>
      <c r="B39" s="51"/>
      <c r="C39" s="29"/>
      <c r="D39" s="48"/>
      <c r="E39" s="32"/>
      <c r="F39" s="30"/>
      <c r="G39" s="31"/>
      <c r="H39" s="40"/>
      <c r="I39" s="37"/>
      <c r="J39" s="44"/>
      <c r="K39" s="34"/>
      <c r="L39" s="455"/>
      <c r="M39" s="455"/>
      <c r="N39" s="455"/>
      <c r="O39" s="456"/>
      <c r="P39" s="361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2">
        <f t="shared" si="6"/>
        <v>0</v>
      </c>
      <c r="Z39" s="454"/>
      <c r="AA39" s="455"/>
      <c r="AB39" s="456"/>
      <c r="AC39" s="27">
        <f t="shared" si="3"/>
        <v>0</v>
      </c>
      <c r="AD39" s="16">
        <f t="shared" si="9"/>
        <v>0</v>
      </c>
    </row>
    <row r="40" spans="1:30" x14ac:dyDescent="0.25">
      <c r="A40" s="482"/>
      <c r="B40" s="51"/>
      <c r="C40" s="29"/>
      <c r="D40" s="48"/>
      <c r="E40" s="32"/>
      <c r="F40" s="30"/>
      <c r="G40" s="31"/>
      <c r="H40" s="40"/>
      <c r="I40" s="37"/>
      <c r="J40" s="44"/>
      <c r="K40" s="34"/>
      <c r="L40" s="455"/>
      <c r="M40" s="455"/>
      <c r="N40" s="455"/>
      <c r="O40" s="456"/>
      <c r="P40" s="361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2">
        <f t="shared" si="6"/>
        <v>0</v>
      </c>
      <c r="Z40" s="454"/>
      <c r="AA40" s="455"/>
      <c r="AB40" s="456"/>
      <c r="AC40" s="27">
        <f t="shared" si="3"/>
        <v>0</v>
      </c>
      <c r="AD40" s="16">
        <f t="shared" si="9"/>
        <v>0</v>
      </c>
    </row>
    <row r="41" spans="1:30" x14ac:dyDescent="0.25">
      <c r="A41" s="482"/>
      <c r="B41" s="51"/>
      <c r="C41" s="29"/>
      <c r="D41" s="48"/>
      <c r="E41" s="32"/>
      <c r="F41" s="30"/>
      <c r="G41" s="31"/>
      <c r="H41" s="40"/>
      <c r="I41" s="37"/>
      <c r="J41" s="44"/>
      <c r="K41" s="34"/>
      <c r="L41" s="455"/>
      <c r="M41" s="455"/>
      <c r="N41" s="455"/>
      <c r="O41" s="456"/>
      <c r="P41" s="361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2">
        <f t="shared" si="6"/>
        <v>0</v>
      </c>
      <c r="Z41" s="454"/>
      <c r="AA41" s="455"/>
      <c r="AB41" s="456"/>
      <c r="AC41" s="27">
        <f t="shared" si="3"/>
        <v>0</v>
      </c>
      <c r="AD41" s="16">
        <f t="shared" si="9"/>
        <v>0</v>
      </c>
    </row>
    <row r="42" spans="1:30" x14ac:dyDescent="0.25">
      <c r="A42" s="482"/>
      <c r="B42" s="51"/>
      <c r="C42" s="29"/>
      <c r="D42" s="48"/>
      <c r="E42" s="32"/>
      <c r="F42" s="30"/>
      <c r="G42" s="31"/>
      <c r="H42" s="40"/>
      <c r="I42" s="37"/>
      <c r="J42" s="44"/>
      <c r="K42" s="34"/>
      <c r="L42" s="455"/>
      <c r="M42" s="455"/>
      <c r="N42" s="455"/>
      <c r="O42" s="456"/>
      <c r="P42" s="361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2">
        <f t="shared" si="6"/>
        <v>0</v>
      </c>
      <c r="Z42" s="454"/>
      <c r="AA42" s="455"/>
      <c r="AB42" s="456"/>
      <c r="AC42" s="27">
        <f t="shared" si="3"/>
        <v>0</v>
      </c>
      <c r="AD42" s="16">
        <f t="shared" ref="AD42:AD47" si="10">H42*I42</f>
        <v>0</v>
      </c>
    </row>
    <row r="43" spans="1:30" x14ac:dyDescent="0.25">
      <c r="A43" s="482"/>
      <c r="B43" s="52"/>
      <c r="C43" s="29"/>
      <c r="D43" s="48"/>
      <c r="E43" s="32"/>
      <c r="F43" s="30"/>
      <c r="G43" s="31"/>
      <c r="H43" s="40"/>
      <c r="I43" s="37"/>
      <c r="J43" s="44"/>
      <c r="K43" s="34"/>
      <c r="L43" s="455"/>
      <c r="M43" s="455"/>
      <c r="N43" s="455"/>
      <c r="O43" s="456"/>
      <c r="P43" s="361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2">
        <f t="shared" si="6"/>
        <v>0</v>
      </c>
      <c r="Z43" s="454"/>
      <c r="AA43" s="455"/>
      <c r="AB43" s="456"/>
      <c r="AC43" s="27">
        <f t="shared" si="3"/>
        <v>0</v>
      </c>
      <c r="AD43" s="16">
        <f t="shared" si="10"/>
        <v>0</v>
      </c>
    </row>
    <row r="44" spans="1:30" x14ac:dyDescent="0.25">
      <c r="A44" s="482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55"/>
      <c r="M44" s="455"/>
      <c r="N44" s="455"/>
      <c r="O44" s="456"/>
      <c r="P44" s="361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2">
        <f t="shared" si="6"/>
        <v>0</v>
      </c>
      <c r="Z44" s="454"/>
      <c r="AA44" s="455"/>
      <c r="AB44" s="456"/>
      <c r="AC44" s="27">
        <f t="shared" si="3"/>
        <v>0</v>
      </c>
      <c r="AD44" s="16">
        <f t="shared" si="10"/>
        <v>0</v>
      </c>
    </row>
    <row r="45" spans="1:30" x14ac:dyDescent="0.25">
      <c r="A45" s="482"/>
      <c r="B45" s="51"/>
      <c r="C45" s="29"/>
      <c r="D45" s="48"/>
      <c r="E45" s="32"/>
      <c r="F45" s="30"/>
      <c r="G45" s="31"/>
      <c r="H45" s="40"/>
      <c r="I45" s="37"/>
      <c r="J45" s="44"/>
      <c r="K45" s="34"/>
      <c r="L45" s="455"/>
      <c r="M45" s="455"/>
      <c r="N45" s="455"/>
      <c r="O45" s="456"/>
      <c r="P45" s="361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39"/>
      <c r="V45" s="39"/>
      <c r="W45" s="39"/>
      <c r="X45" s="39"/>
      <c r="Y45" s="362">
        <f t="shared" si="6"/>
        <v>0</v>
      </c>
      <c r="Z45" s="454"/>
      <c r="AA45" s="455"/>
      <c r="AB45" s="456"/>
      <c r="AC45" s="27">
        <f t="shared" si="3"/>
        <v>0</v>
      </c>
      <c r="AD45" s="16">
        <f t="shared" si="10"/>
        <v>0</v>
      </c>
    </row>
    <row r="46" spans="1:30" x14ac:dyDescent="0.25">
      <c r="A46" s="482"/>
      <c r="B46" s="51"/>
      <c r="C46" s="29"/>
      <c r="D46" s="48"/>
      <c r="E46" s="32"/>
      <c r="F46" s="30"/>
      <c r="G46" s="31"/>
      <c r="H46" s="40"/>
      <c r="I46" s="37"/>
      <c r="J46" s="44"/>
      <c r="K46" s="34"/>
      <c r="L46" s="455"/>
      <c r="M46" s="455"/>
      <c r="N46" s="455"/>
      <c r="O46" s="456"/>
      <c r="P46" s="361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8"/>
      <c r="V46" s="38"/>
      <c r="W46" s="38"/>
      <c r="X46" s="38"/>
      <c r="Y46" s="362">
        <f t="shared" si="6"/>
        <v>0</v>
      </c>
      <c r="Z46" s="454"/>
      <c r="AA46" s="455"/>
      <c r="AB46" s="456"/>
      <c r="AC46" s="27">
        <f t="shared" si="3"/>
        <v>0</v>
      </c>
      <c r="AD46" s="16">
        <f t="shared" si="10"/>
        <v>0</v>
      </c>
    </row>
    <row r="47" spans="1:30" x14ac:dyDescent="0.25">
      <c r="A47" s="482"/>
      <c r="B47" s="51"/>
      <c r="C47" s="29"/>
      <c r="D47" s="48"/>
      <c r="E47" s="32"/>
      <c r="F47" s="30"/>
      <c r="G47" s="31"/>
      <c r="H47" s="40"/>
      <c r="I47" s="37"/>
      <c r="J47" s="44"/>
      <c r="K47" s="34"/>
      <c r="L47" s="455"/>
      <c r="M47" s="455"/>
      <c r="N47" s="455"/>
      <c r="O47" s="456"/>
      <c r="P47" s="361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2">
        <f t="shared" si="6"/>
        <v>0</v>
      </c>
      <c r="Z47" s="454"/>
      <c r="AA47" s="455"/>
      <c r="AB47" s="456"/>
      <c r="AC47" s="27">
        <f t="shared" si="3"/>
        <v>0</v>
      </c>
      <c r="AD47" s="16">
        <f t="shared" si="10"/>
        <v>0</v>
      </c>
    </row>
    <row r="48" spans="1:30" ht="16.2" thickBot="1" x14ac:dyDescent="0.3">
      <c r="A48" s="483"/>
      <c r="B48" s="53"/>
      <c r="C48" s="62"/>
      <c r="D48" s="19"/>
      <c r="E48" s="397"/>
      <c r="F48" s="20"/>
      <c r="G48" s="18"/>
      <c r="H48" s="46">
        <f>AC48</f>
        <v>673</v>
      </c>
      <c r="I48" s="41"/>
      <c r="J48" s="45"/>
      <c r="K48" s="50"/>
      <c r="L48" s="58"/>
      <c r="M48" s="58"/>
      <c r="N48" s="58"/>
      <c r="O48" s="59"/>
      <c r="P48" s="384"/>
      <c r="Q48" s="385">
        <f>SUM(Q8:Q47)</f>
        <v>297</v>
      </c>
      <c r="R48" s="357">
        <f>SUM(R8:R47)</f>
        <v>22</v>
      </c>
      <c r="S48" s="386">
        <f>SUM(S8:S47)</f>
        <v>319</v>
      </c>
      <c r="T48" s="63">
        <f>SUM(T8:T47)</f>
        <v>319</v>
      </c>
      <c r="U48" s="386">
        <f t="shared" ref="U48:Y48" si="11">SUM(U8:U47)</f>
        <v>165</v>
      </c>
      <c r="V48" s="386">
        <f t="shared" si="11"/>
        <v>0</v>
      </c>
      <c r="W48" s="386">
        <f t="shared" si="11"/>
        <v>179</v>
      </c>
      <c r="X48" s="386">
        <f t="shared" si="11"/>
        <v>0</v>
      </c>
      <c r="Y48" s="386">
        <f t="shared" si="11"/>
        <v>344</v>
      </c>
      <c r="Z48" s="368"/>
      <c r="AA48" s="60"/>
      <c r="AB48" s="369"/>
      <c r="AC48" s="61">
        <f>SUM(AC8:AC47)</f>
        <v>673</v>
      </c>
      <c r="AD48" s="26">
        <f>SUM(AD8:AD47)</f>
        <v>15522</v>
      </c>
    </row>
    <row r="49" spans="1:30" ht="14.55" customHeight="1" x14ac:dyDescent="0.25">
      <c r="A49" s="481" t="s">
        <v>88</v>
      </c>
      <c r="B49" s="425" t="s">
        <v>89</v>
      </c>
      <c r="C49" s="420" t="s">
        <v>90</v>
      </c>
      <c r="D49" s="48" t="s">
        <v>52</v>
      </c>
      <c r="E49" s="436" t="s">
        <v>35</v>
      </c>
      <c r="F49" s="416">
        <v>1</v>
      </c>
      <c r="G49" s="433" t="s">
        <v>91</v>
      </c>
      <c r="H49" s="423">
        <v>6</v>
      </c>
      <c r="I49" s="418">
        <f>'Recettes et simulat'!$E$6-'Recettes et simulat'!$F$18-'Recettes et simulat'!$F$19</f>
        <v>21</v>
      </c>
      <c r="J49" s="428">
        <v>25</v>
      </c>
      <c r="K49" s="49"/>
      <c r="L49" s="458"/>
      <c r="M49" s="458"/>
      <c r="N49" s="458"/>
      <c r="O49" s="459"/>
      <c r="P49" s="361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6</v>
      </c>
      <c r="R49" s="54"/>
      <c r="S49" s="15">
        <f t="shared" si="1"/>
        <v>6</v>
      </c>
      <c r="T49" s="55">
        <f>IF(G49="",0,IF(ISERROR(R49+Q49*VLOOKUP(G49,Paramétrage!$D$6:$F$27,3,0))=TRUE,S49,R49+Q49*VLOOKUP(G49,Paramétrage!$D$6:$F$27,3,0)))</f>
        <v>6</v>
      </c>
      <c r="U49" s="36"/>
      <c r="V49" s="36"/>
      <c r="W49" s="36">
        <f>S49</f>
        <v>6</v>
      </c>
      <c r="X49" s="36"/>
      <c r="Y49" s="362">
        <f>SUM(U49:X49)</f>
        <v>6</v>
      </c>
      <c r="Z49" s="457"/>
      <c r="AA49" s="458"/>
      <c r="AB49" s="459"/>
      <c r="AC49" s="56">
        <f>IF(B49="",0,IF(E49="",0,IF(SUMIF($B$49:$B$88,B49,$I$49:$I$88)=0,0,IF(E49="Obligatoire",AD49/I49,IF(F49="",AD49/SUMIF($B$49:$B$88,B49,$I$49:$I$88),AD49/(SUMIF($B$49:$B$88,B49,$I$49:$I$88)/F49))))))</f>
        <v>6</v>
      </c>
      <c r="AD49" s="57">
        <f>H49*I49</f>
        <v>126</v>
      </c>
    </row>
    <row r="50" spans="1:30" x14ac:dyDescent="0.25">
      <c r="A50" s="482"/>
      <c r="B50" s="415" t="s">
        <v>92</v>
      </c>
      <c r="C50" s="420" t="s">
        <v>90</v>
      </c>
      <c r="D50" s="48" t="s">
        <v>52</v>
      </c>
      <c r="E50" s="437" t="s">
        <v>35</v>
      </c>
      <c r="F50" s="416">
        <v>1</v>
      </c>
      <c r="G50" s="433" t="s">
        <v>93</v>
      </c>
      <c r="H50" s="423">
        <v>560</v>
      </c>
      <c r="I50" s="418">
        <f>'Recettes et simulat'!$E$6-'Recettes et simulat'!$F$18-'Recettes et simulat'!$F$19</f>
        <v>21</v>
      </c>
      <c r="J50" s="419">
        <v>25</v>
      </c>
      <c r="K50" s="34"/>
      <c r="L50" s="455"/>
      <c r="M50" s="455"/>
      <c r="N50" s="455"/>
      <c r="O50" s="456"/>
      <c r="P50" s="361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7">
        <f>IF(OR(G50="",K50="Mut+ext"),0,IF(VLOOKUP(G50,Paramétrage!$D$6:$F$27,3,0)=0,0,IF(J50="","saisir capacité",H50*P50*VLOOKUP(G50,Paramétrage!$D$6:$F$27,2,0))))</f>
        <v>0</v>
      </c>
      <c r="R50" s="33">
        <v>24</v>
      </c>
      <c r="S50" s="15">
        <f t="shared" si="1"/>
        <v>24</v>
      </c>
      <c r="T50" s="28">
        <f>IF(G50="",0,IF(ISERROR(R50+Q50*VLOOKUP(G50,Paramétrage!$D$6:$F$27,3,0))=TRUE,S50,R50+Q50*VLOOKUP(G50,Paramétrage!$D$6:$F$27,3,0)))</f>
        <v>24</v>
      </c>
      <c r="U50" s="37">
        <f>S50/2</f>
        <v>12</v>
      </c>
      <c r="V50" s="37"/>
      <c r="W50" s="37">
        <f>S50-U50</f>
        <v>12</v>
      </c>
      <c r="X50" s="37"/>
      <c r="Y50" s="362">
        <f t="shared" ref="Y50:Y68" si="12">SUM(U50:X50)</f>
        <v>24</v>
      </c>
      <c r="Z50" s="454"/>
      <c r="AA50" s="455"/>
      <c r="AB50" s="456"/>
      <c r="AC50" s="27">
        <f>IF(B50="",0,IF(E50="",0,IF(SUMIF($B$49:$B$88,B50,$I$49:$I$88)=0,0,IF(E50="Obligatoire",AD50/I50,IF(F50="",AD50/SUMIF($B$49:$B$88,B50,$I$49:$I$88),AD50/(SUMIF($B$49:$B$88,B50,$I$49:$I$88)/F50))))))</f>
        <v>560</v>
      </c>
      <c r="AD50" s="16">
        <f>H50*I50</f>
        <v>11760</v>
      </c>
    </row>
    <row r="51" spans="1:30" x14ac:dyDescent="0.25">
      <c r="A51" s="482"/>
      <c r="B51" s="415" t="s">
        <v>94</v>
      </c>
      <c r="C51" s="420" t="s">
        <v>95</v>
      </c>
      <c r="D51" s="48" t="s">
        <v>57</v>
      </c>
      <c r="E51" s="438" t="s">
        <v>35</v>
      </c>
      <c r="F51" s="416">
        <v>1</v>
      </c>
      <c r="G51" s="433" t="s">
        <v>96</v>
      </c>
      <c r="H51" s="441">
        <v>3</v>
      </c>
      <c r="I51" s="427">
        <f>+'Recettes et simulat'!$F$18+'Recettes et simulat'!$F$19</f>
        <v>4</v>
      </c>
      <c r="J51" s="419">
        <v>25</v>
      </c>
      <c r="K51" s="34"/>
      <c r="L51" s="455"/>
      <c r="M51" s="455"/>
      <c r="N51" s="455"/>
      <c r="O51" s="456"/>
      <c r="P51" s="361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3</v>
      </c>
      <c r="R51" s="451"/>
      <c r="S51" s="15">
        <f t="shared" si="1"/>
        <v>3</v>
      </c>
      <c r="T51" s="28">
        <f>IF(G51="",0,IF(ISERROR(R51+Q51*VLOOKUP(G51,Paramétrage!$D$6:$F$27,3,0))=TRUE,S51,R51+Q51*VLOOKUP(G51,Paramétrage!$D$6:$F$27,3,0)))</f>
        <v>3</v>
      </c>
      <c r="U51" s="37">
        <f>S51</f>
        <v>3</v>
      </c>
      <c r="V51" s="37"/>
      <c r="W51" s="37"/>
      <c r="X51" s="37"/>
      <c r="Y51" s="362">
        <f t="shared" si="12"/>
        <v>3</v>
      </c>
      <c r="Z51" s="454"/>
      <c r="AA51" s="455"/>
      <c r="AB51" s="456"/>
      <c r="AC51" s="27">
        <f t="shared" ref="AC51:AC88" si="13">IF(B51="",0,IF(E51="",0,IF(SUMIF($B$49:$B$88,B51,$I$49:$I$88)=0,0,IF(E51="Obligatoire",AD51/I51,IF(F51="",AD51/SUMIF($B$49:$B$88,B51,$I$49:$I$88),AD51/(SUMIF($B$49:$B$88,B51,$I$49:$I$88)/F51))))))</f>
        <v>3</v>
      </c>
      <c r="AD51" s="16">
        <f t="shared" ref="AD51:AD62" si="14">H51*I51</f>
        <v>12</v>
      </c>
    </row>
    <row r="52" spans="1:30" x14ac:dyDescent="0.25">
      <c r="A52" s="482"/>
      <c r="B52" s="425" t="s">
        <v>97</v>
      </c>
      <c r="C52" s="434" t="s">
        <v>98</v>
      </c>
      <c r="D52" s="48" t="s">
        <v>34</v>
      </c>
      <c r="E52" s="439" t="s">
        <v>35</v>
      </c>
      <c r="F52" s="435">
        <v>1</v>
      </c>
      <c r="G52" s="433" t="s">
        <v>99</v>
      </c>
      <c r="H52" s="441">
        <v>12</v>
      </c>
      <c r="I52" s="418">
        <f>'Recettes et simulat'!$E$6</f>
        <v>25</v>
      </c>
      <c r="J52" s="419">
        <v>25</v>
      </c>
      <c r="K52" s="34"/>
      <c r="L52" s="455"/>
      <c r="M52" s="455"/>
      <c r="N52" s="455"/>
      <c r="O52" s="456"/>
      <c r="P52" s="361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12</v>
      </c>
      <c r="R52" s="452"/>
      <c r="S52" s="15">
        <f t="shared" si="1"/>
        <v>12</v>
      </c>
      <c r="T52" s="28">
        <f>IF(G52="",0,IF(ISERROR(R52+Q52*VLOOKUP(G52,Paramétrage!$D$6:$F$27,3,0))=TRUE,S52,R52+Q52*VLOOKUP(G52,Paramétrage!$D$6:$F$27,3,0)))</f>
        <v>12</v>
      </c>
      <c r="U52" s="37">
        <f>S52</f>
        <v>12</v>
      </c>
      <c r="V52" s="37"/>
      <c r="W52" s="37"/>
      <c r="X52" s="37"/>
      <c r="Y52" s="362">
        <f t="shared" si="12"/>
        <v>12</v>
      </c>
      <c r="Z52" s="454"/>
      <c r="AA52" s="455"/>
      <c r="AB52" s="456"/>
      <c r="AC52" s="27">
        <f t="shared" si="13"/>
        <v>12</v>
      </c>
      <c r="AD52" s="16">
        <f t="shared" si="14"/>
        <v>300</v>
      </c>
    </row>
    <row r="53" spans="1:30" x14ac:dyDescent="0.25">
      <c r="A53" s="482"/>
      <c r="B53" s="415" t="s">
        <v>100</v>
      </c>
      <c r="C53" s="420" t="s">
        <v>98</v>
      </c>
      <c r="D53" s="48" t="s">
        <v>52</v>
      </c>
      <c r="E53" s="437" t="s">
        <v>35</v>
      </c>
      <c r="F53" s="416">
        <v>1</v>
      </c>
      <c r="G53" s="433" t="s">
        <v>43</v>
      </c>
      <c r="H53" s="423">
        <v>150</v>
      </c>
      <c r="I53" s="418">
        <f>'Recettes et simulat'!$E$6-'Recettes et simulat'!$F$18-'Recettes et simulat'!$F$19</f>
        <v>21</v>
      </c>
      <c r="J53" s="419">
        <v>25</v>
      </c>
      <c r="K53" s="34"/>
      <c r="L53" s="455"/>
      <c r="M53" s="455"/>
      <c r="N53" s="455"/>
      <c r="O53" s="456"/>
      <c r="P53" s="361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451">
        <f>1*I53</f>
        <v>21</v>
      </c>
      <c r="S53" s="15">
        <f t="shared" si="1"/>
        <v>21</v>
      </c>
      <c r="T53" s="28">
        <f>IF(G53="",0,IF(ISERROR(R53+Q53*VLOOKUP(G53,Paramétrage!$D$6:$F$27,3,0))=TRUE,S53,R53+Q53*VLOOKUP(G53,Paramétrage!$D$6:$F$27,3,0)))</f>
        <v>21</v>
      </c>
      <c r="U53" s="37">
        <f>S53/2</f>
        <v>10.5</v>
      </c>
      <c r="V53" s="37"/>
      <c r="W53" s="37">
        <f>S53-U53</f>
        <v>10.5</v>
      </c>
      <c r="X53" s="37"/>
      <c r="Y53" s="362">
        <f t="shared" si="12"/>
        <v>21</v>
      </c>
      <c r="Z53" s="454"/>
      <c r="AA53" s="455"/>
      <c r="AB53" s="456"/>
      <c r="AC53" s="27">
        <f t="shared" si="13"/>
        <v>150</v>
      </c>
      <c r="AD53" s="16">
        <f t="shared" si="14"/>
        <v>3150</v>
      </c>
    </row>
    <row r="54" spans="1:30" x14ac:dyDescent="0.25">
      <c r="A54" s="482"/>
      <c r="B54" s="415" t="s">
        <v>101</v>
      </c>
      <c r="C54" s="420" t="s">
        <v>98</v>
      </c>
      <c r="D54" s="48" t="s">
        <v>57</v>
      </c>
      <c r="E54" s="437" t="s">
        <v>35</v>
      </c>
      <c r="F54" s="416">
        <v>1</v>
      </c>
      <c r="G54" s="433" t="s">
        <v>43</v>
      </c>
      <c r="H54" s="447">
        <v>60</v>
      </c>
      <c r="I54" s="427">
        <f>+'Recettes et simulat'!$F$18+'Recettes et simulat'!$F$19</f>
        <v>4</v>
      </c>
      <c r="J54" s="419">
        <v>6</v>
      </c>
      <c r="K54" s="34"/>
      <c r="L54" s="455"/>
      <c r="M54" s="455"/>
      <c r="N54" s="455"/>
      <c r="O54" s="456"/>
      <c r="P54" s="361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451">
        <f>1*I54</f>
        <v>4</v>
      </c>
      <c r="S54" s="15">
        <f t="shared" si="1"/>
        <v>4</v>
      </c>
      <c r="T54" s="28">
        <f>IF(G54="",0,IF(ISERROR(R54+Q54*VLOOKUP(G54,Paramétrage!$D$6:$F$27,3,0))=TRUE,S54,R54+Q54*VLOOKUP(G54,Paramétrage!$D$6:$F$27,3,0)))</f>
        <v>4</v>
      </c>
      <c r="U54" s="37">
        <f>S54/2</f>
        <v>2</v>
      </c>
      <c r="V54" s="37"/>
      <c r="W54" s="37">
        <f>S54-U54</f>
        <v>2</v>
      </c>
      <c r="X54" s="37"/>
      <c r="Y54" s="362">
        <f t="shared" si="12"/>
        <v>4</v>
      </c>
      <c r="Z54" s="454"/>
      <c r="AA54" s="455"/>
      <c r="AB54" s="456"/>
      <c r="AC54" s="27">
        <f t="shared" si="13"/>
        <v>60</v>
      </c>
      <c r="AD54" s="16">
        <f t="shared" si="14"/>
        <v>240</v>
      </c>
    </row>
    <row r="55" spans="1:30" x14ac:dyDescent="0.25">
      <c r="A55" s="482"/>
      <c r="B55" s="429" t="s">
        <v>102</v>
      </c>
      <c r="C55" s="420" t="s">
        <v>98</v>
      </c>
      <c r="D55" s="48" t="s">
        <v>57</v>
      </c>
      <c r="E55" s="438" t="s">
        <v>35</v>
      </c>
      <c r="F55" s="416">
        <v>1</v>
      </c>
      <c r="G55" s="433" t="s">
        <v>99</v>
      </c>
      <c r="H55" s="441">
        <v>10</v>
      </c>
      <c r="I55" s="427">
        <f>+'Recettes et simulat'!$F$18+'Recettes et simulat'!$F$19</f>
        <v>4</v>
      </c>
      <c r="J55" s="419">
        <v>6</v>
      </c>
      <c r="K55" s="34"/>
      <c r="L55" s="455"/>
      <c r="M55" s="455"/>
      <c r="N55" s="455"/>
      <c r="O55" s="456"/>
      <c r="P55" s="361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10</v>
      </c>
      <c r="R55" s="452"/>
      <c r="S55" s="15">
        <f t="shared" si="1"/>
        <v>10</v>
      </c>
      <c r="T55" s="28">
        <f>IF(G55="",0,IF(ISERROR(R55+Q55*VLOOKUP(G55,Paramétrage!$D$6:$F$27,3,0))=TRUE,S55,R55+Q55*VLOOKUP(G55,Paramétrage!$D$6:$F$27,3,0)))</f>
        <v>10</v>
      </c>
      <c r="U55" s="37">
        <f>S55</f>
        <v>10</v>
      </c>
      <c r="V55" s="37"/>
      <c r="W55" s="37"/>
      <c r="X55" s="37"/>
      <c r="Y55" s="362">
        <f t="shared" si="12"/>
        <v>10</v>
      </c>
      <c r="Z55" s="454"/>
      <c r="AA55" s="455"/>
      <c r="AB55" s="456"/>
      <c r="AC55" s="27">
        <f t="shared" si="13"/>
        <v>10</v>
      </c>
      <c r="AD55" s="16">
        <f t="shared" si="14"/>
        <v>40</v>
      </c>
    </row>
    <row r="56" spans="1:30" x14ac:dyDescent="0.25">
      <c r="A56" s="482"/>
      <c r="B56" s="51" t="s">
        <v>103</v>
      </c>
      <c r="C56" s="29" t="s">
        <v>104</v>
      </c>
      <c r="D56" s="48" t="s">
        <v>57</v>
      </c>
      <c r="E56" s="32" t="s">
        <v>35</v>
      </c>
      <c r="F56" s="30"/>
      <c r="G56" s="377" t="s">
        <v>105</v>
      </c>
      <c r="H56" s="40"/>
      <c r="I56" s="427">
        <f>+'Recettes et simulat'!$F$18+'Recettes et simulat'!$F$19</f>
        <v>4</v>
      </c>
      <c r="J56" s="44"/>
      <c r="K56" s="34"/>
      <c r="L56" s="455"/>
      <c r="M56" s="455"/>
      <c r="N56" s="455"/>
      <c r="O56" s="456"/>
      <c r="P56" s="361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451">
        <f>6*I56</f>
        <v>24</v>
      </c>
      <c r="S56" s="15">
        <f t="shared" si="1"/>
        <v>24</v>
      </c>
      <c r="T56" s="28">
        <f>IF(G56="",0,IF(ISERROR(R56+Q56*VLOOKUP(G56,Paramétrage!$D$6:$F$27,3,0))=TRUE,S56,R56+Q56*VLOOKUP(G56,Paramétrage!$D$6:$F$27,3,0)))</f>
        <v>24</v>
      </c>
      <c r="U56" s="407">
        <f>S56</f>
        <v>24</v>
      </c>
      <c r="V56" s="407"/>
      <c r="W56" s="407"/>
      <c r="X56" s="37"/>
      <c r="Y56" s="362">
        <f t="shared" si="12"/>
        <v>24</v>
      </c>
      <c r="Z56" s="454"/>
      <c r="AA56" s="455"/>
      <c r="AB56" s="456"/>
      <c r="AC56" s="27">
        <f t="shared" si="13"/>
        <v>0</v>
      </c>
      <c r="AD56" s="16">
        <f t="shared" si="14"/>
        <v>0</v>
      </c>
    </row>
    <row r="57" spans="1:30" x14ac:dyDescent="0.25">
      <c r="A57" s="482"/>
      <c r="B57" s="51"/>
      <c r="C57" s="29"/>
      <c r="D57" s="48"/>
      <c r="E57" s="32"/>
      <c r="F57" s="30"/>
      <c r="G57" s="31"/>
      <c r="H57" s="40"/>
      <c r="I57" s="37"/>
      <c r="J57" s="44"/>
      <c r="K57" s="34"/>
      <c r="L57" s="455"/>
      <c r="M57" s="455"/>
      <c r="N57" s="455"/>
      <c r="O57" s="456"/>
      <c r="P57" s="361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3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7"/>
      <c r="V57" s="37"/>
      <c r="W57" s="37"/>
      <c r="X57" s="37"/>
      <c r="Y57" s="362">
        <f t="shared" si="12"/>
        <v>0</v>
      </c>
      <c r="Z57" s="454"/>
      <c r="AA57" s="455"/>
      <c r="AB57" s="456"/>
      <c r="AC57" s="27">
        <f t="shared" si="13"/>
        <v>0</v>
      </c>
      <c r="AD57" s="16">
        <f t="shared" si="14"/>
        <v>0</v>
      </c>
    </row>
    <row r="58" spans="1:30" x14ac:dyDescent="0.25">
      <c r="A58" s="482"/>
      <c r="B58" s="51"/>
      <c r="C58" s="29"/>
      <c r="D58" s="48"/>
      <c r="E58" s="29"/>
      <c r="F58" s="30"/>
      <c r="G58" s="31"/>
      <c r="H58" s="40"/>
      <c r="I58" s="37"/>
      <c r="J58" s="44"/>
      <c r="K58" s="34"/>
      <c r="L58" s="455"/>
      <c r="M58" s="455"/>
      <c r="N58" s="455"/>
      <c r="O58" s="456"/>
      <c r="P58" s="361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7"/>
      <c r="V58" s="37"/>
      <c r="W58" s="37"/>
      <c r="X58" s="37"/>
      <c r="Y58" s="362">
        <f t="shared" si="12"/>
        <v>0</v>
      </c>
      <c r="Z58" s="454"/>
      <c r="AA58" s="455"/>
      <c r="AB58" s="456"/>
      <c r="AC58" s="27">
        <f t="shared" si="13"/>
        <v>0</v>
      </c>
      <c r="AD58" s="16">
        <f t="shared" si="14"/>
        <v>0</v>
      </c>
    </row>
    <row r="59" spans="1:30" x14ac:dyDescent="0.25">
      <c r="A59" s="482"/>
      <c r="B59" s="51"/>
      <c r="C59" s="29"/>
      <c r="D59" s="48"/>
      <c r="E59" s="32"/>
      <c r="F59" s="30"/>
      <c r="G59" s="31"/>
      <c r="H59" s="40"/>
      <c r="I59" s="377"/>
      <c r="J59" s="44"/>
      <c r="K59" s="34"/>
      <c r="L59" s="455"/>
      <c r="M59" s="455"/>
      <c r="N59" s="455"/>
      <c r="O59" s="456"/>
      <c r="P59" s="361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3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7"/>
      <c r="V59" s="37"/>
      <c r="W59" s="37"/>
      <c r="X59" s="37"/>
      <c r="Y59" s="362">
        <f t="shared" si="12"/>
        <v>0</v>
      </c>
      <c r="Z59" s="454"/>
      <c r="AA59" s="455"/>
      <c r="AB59" s="456"/>
      <c r="AC59" s="27">
        <f t="shared" si="13"/>
        <v>0</v>
      </c>
      <c r="AD59" s="16">
        <f t="shared" si="14"/>
        <v>0</v>
      </c>
    </row>
    <row r="60" spans="1:30" x14ac:dyDescent="0.25">
      <c r="A60" s="482"/>
      <c r="B60" s="51"/>
      <c r="C60" s="29"/>
      <c r="D60" s="48"/>
      <c r="E60" s="32"/>
      <c r="F60" s="30"/>
      <c r="G60" s="31"/>
      <c r="H60" s="40"/>
      <c r="I60" s="37"/>
      <c r="J60" s="44"/>
      <c r="K60" s="34"/>
      <c r="L60" s="455"/>
      <c r="M60" s="455"/>
      <c r="N60" s="455"/>
      <c r="O60" s="456"/>
      <c r="P60" s="361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7"/>
      <c r="V60" s="37"/>
      <c r="W60" s="37"/>
      <c r="X60" s="37"/>
      <c r="Y60" s="362">
        <f t="shared" si="12"/>
        <v>0</v>
      </c>
      <c r="Z60" s="454"/>
      <c r="AA60" s="455"/>
      <c r="AB60" s="456"/>
      <c r="AC60" s="27">
        <f t="shared" si="13"/>
        <v>0</v>
      </c>
      <c r="AD60" s="16">
        <f t="shared" si="14"/>
        <v>0</v>
      </c>
    </row>
    <row r="61" spans="1:30" x14ac:dyDescent="0.25">
      <c r="A61" s="482"/>
      <c r="B61" s="51"/>
      <c r="C61" s="29"/>
      <c r="D61" s="48"/>
      <c r="E61" s="32"/>
      <c r="F61" s="30"/>
      <c r="G61" s="31"/>
      <c r="H61" s="40"/>
      <c r="I61" s="37"/>
      <c r="J61" s="44"/>
      <c r="K61" s="34"/>
      <c r="L61" s="455"/>
      <c r="M61" s="455"/>
      <c r="N61" s="455"/>
      <c r="O61" s="456"/>
      <c r="P61" s="361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3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7"/>
      <c r="V61" s="37"/>
      <c r="W61" s="37"/>
      <c r="X61" s="37"/>
      <c r="Y61" s="362">
        <f t="shared" si="12"/>
        <v>0</v>
      </c>
      <c r="Z61" s="454"/>
      <c r="AA61" s="455"/>
      <c r="AB61" s="456"/>
      <c r="AC61" s="27">
        <f t="shared" si="13"/>
        <v>0</v>
      </c>
      <c r="AD61" s="16">
        <f t="shared" si="14"/>
        <v>0</v>
      </c>
    </row>
    <row r="62" spans="1:30" x14ac:dyDescent="0.25">
      <c r="A62" s="482"/>
      <c r="B62" s="51"/>
      <c r="C62" s="29"/>
      <c r="D62" s="48"/>
      <c r="E62" s="32"/>
      <c r="F62" s="30"/>
      <c r="G62" s="31"/>
      <c r="H62" s="40"/>
      <c r="I62" s="37"/>
      <c r="J62" s="44"/>
      <c r="K62" s="34"/>
      <c r="L62" s="455"/>
      <c r="M62" s="455"/>
      <c r="N62" s="455"/>
      <c r="O62" s="456"/>
      <c r="P62" s="361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7"/>
      <c r="V62" s="37"/>
      <c r="W62" s="37"/>
      <c r="X62" s="37"/>
      <c r="Y62" s="362">
        <f t="shared" si="12"/>
        <v>0</v>
      </c>
      <c r="Z62" s="454"/>
      <c r="AA62" s="455"/>
      <c r="AB62" s="456"/>
      <c r="AC62" s="27">
        <f t="shared" si="13"/>
        <v>0</v>
      </c>
      <c r="AD62" s="16">
        <f t="shared" si="14"/>
        <v>0</v>
      </c>
    </row>
    <row r="63" spans="1:30" x14ac:dyDescent="0.25">
      <c r="A63" s="482"/>
      <c r="B63" s="51"/>
      <c r="C63" s="29"/>
      <c r="D63" s="48"/>
      <c r="E63" s="32"/>
      <c r="F63" s="30"/>
      <c r="G63" s="31"/>
      <c r="H63" s="40"/>
      <c r="I63" s="37"/>
      <c r="J63" s="44"/>
      <c r="K63" s="34"/>
      <c r="L63" s="455"/>
      <c r="M63" s="455"/>
      <c r="N63" s="455"/>
      <c r="O63" s="456"/>
      <c r="P63" s="361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62">
        <f t="shared" si="12"/>
        <v>0</v>
      </c>
      <c r="Z63" s="454"/>
      <c r="AA63" s="455"/>
      <c r="AB63" s="456"/>
      <c r="AC63" s="27">
        <f t="shared" si="13"/>
        <v>0</v>
      </c>
      <c r="AD63" s="16">
        <f t="shared" ref="AD63:AD68" si="15">H63*I63</f>
        <v>0</v>
      </c>
    </row>
    <row r="64" spans="1:30" x14ac:dyDescent="0.25">
      <c r="A64" s="482"/>
      <c r="B64" s="52"/>
      <c r="C64" s="29"/>
      <c r="D64" s="48"/>
      <c r="E64" s="32"/>
      <c r="F64" s="30"/>
      <c r="G64" s="31"/>
      <c r="H64" s="40"/>
      <c r="I64" s="37"/>
      <c r="J64" s="44"/>
      <c r="K64" s="34"/>
      <c r="L64" s="455"/>
      <c r="M64" s="455"/>
      <c r="N64" s="455"/>
      <c r="O64" s="456"/>
      <c r="P64" s="361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62">
        <f t="shared" si="12"/>
        <v>0</v>
      </c>
      <c r="Z64" s="454"/>
      <c r="AA64" s="455"/>
      <c r="AB64" s="456"/>
      <c r="AC64" s="27">
        <f t="shared" si="13"/>
        <v>0</v>
      </c>
      <c r="AD64" s="16">
        <f t="shared" si="15"/>
        <v>0</v>
      </c>
    </row>
    <row r="65" spans="1:30" x14ac:dyDescent="0.25">
      <c r="A65" s="482"/>
      <c r="B65" s="51"/>
      <c r="C65" s="29"/>
      <c r="D65" s="48"/>
      <c r="E65" s="32"/>
      <c r="F65" s="30"/>
      <c r="G65" s="31"/>
      <c r="H65" s="40"/>
      <c r="I65" s="37"/>
      <c r="J65" s="44"/>
      <c r="K65" s="34"/>
      <c r="L65" s="455"/>
      <c r="M65" s="455"/>
      <c r="N65" s="455"/>
      <c r="O65" s="456"/>
      <c r="P65" s="361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62">
        <f t="shared" si="12"/>
        <v>0</v>
      </c>
      <c r="Z65" s="454"/>
      <c r="AA65" s="455"/>
      <c r="AB65" s="456"/>
      <c r="AC65" s="27">
        <f t="shared" si="13"/>
        <v>0</v>
      </c>
      <c r="AD65" s="16">
        <f t="shared" si="15"/>
        <v>0</v>
      </c>
    </row>
    <row r="66" spans="1:30" x14ac:dyDescent="0.25">
      <c r="A66" s="482"/>
      <c r="B66" s="51"/>
      <c r="C66" s="29"/>
      <c r="D66" s="48"/>
      <c r="E66" s="32"/>
      <c r="F66" s="30"/>
      <c r="G66" s="31"/>
      <c r="H66" s="40"/>
      <c r="I66" s="37"/>
      <c r="J66" s="44"/>
      <c r="K66" s="34"/>
      <c r="L66" s="455"/>
      <c r="M66" s="455"/>
      <c r="N66" s="455"/>
      <c r="O66" s="456"/>
      <c r="P66" s="361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39"/>
      <c r="V66" s="39"/>
      <c r="W66" s="39"/>
      <c r="X66" s="39"/>
      <c r="Y66" s="362">
        <f t="shared" si="12"/>
        <v>0</v>
      </c>
      <c r="Z66" s="454"/>
      <c r="AA66" s="455"/>
      <c r="AB66" s="456"/>
      <c r="AC66" s="27">
        <f t="shared" si="13"/>
        <v>0</v>
      </c>
      <c r="AD66" s="16">
        <f t="shared" si="15"/>
        <v>0</v>
      </c>
    </row>
    <row r="67" spans="1:30" x14ac:dyDescent="0.25">
      <c r="A67" s="482"/>
      <c r="B67" s="51"/>
      <c r="C67" s="29"/>
      <c r="D67" s="48"/>
      <c r="E67" s="32"/>
      <c r="F67" s="30"/>
      <c r="G67" s="31"/>
      <c r="H67" s="40"/>
      <c r="I67" s="37"/>
      <c r="J67" s="44"/>
      <c r="K67" s="34"/>
      <c r="L67" s="455"/>
      <c r="M67" s="455"/>
      <c r="N67" s="455"/>
      <c r="O67" s="456"/>
      <c r="P67" s="361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8"/>
      <c r="V67" s="38"/>
      <c r="W67" s="38"/>
      <c r="X67" s="38"/>
      <c r="Y67" s="362">
        <f t="shared" si="12"/>
        <v>0</v>
      </c>
      <c r="Z67" s="454"/>
      <c r="AA67" s="455"/>
      <c r="AB67" s="456"/>
      <c r="AC67" s="27">
        <f t="shared" si="13"/>
        <v>0</v>
      </c>
      <c r="AD67" s="16">
        <f t="shared" si="15"/>
        <v>0</v>
      </c>
    </row>
    <row r="68" spans="1:30" ht="15.45" customHeight="1" thickBot="1" x14ac:dyDescent="0.3">
      <c r="A68" s="482"/>
      <c r="B68" s="382"/>
      <c r="C68" s="32"/>
      <c r="D68" s="398"/>
      <c r="E68" s="29"/>
      <c r="F68" s="30"/>
      <c r="G68" s="31"/>
      <c r="H68" s="381"/>
      <c r="I68" s="38"/>
      <c r="J68" s="44"/>
      <c r="K68" s="34"/>
      <c r="L68" s="455"/>
      <c r="M68" s="455"/>
      <c r="N68" s="455"/>
      <c r="O68" s="456"/>
      <c r="P68" s="361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77"/>
      <c r="S68" s="378">
        <f t="shared" si="1"/>
        <v>0</v>
      </c>
      <c r="T68" s="379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80">
        <f t="shared" si="12"/>
        <v>0</v>
      </c>
      <c r="Z68" s="454"/>
      <c r="AA68" s="455"/>
      <c r="AB68" s="456"/>
      <c r="AC68" s="27">
        <f t="shared" si="13"/>
        <v>0</v>
      </c>
      <c r="AD68" s="16">
        <f t="shared" si="15"/>
        <v>0</v>
      </c>
    </row>
    <row r="69" spans="1:30" ht="14.55" customHeight="1" x14ac:dyDescent="0.25">
      <c r="A69" s="482"/>
      <c r="B69" s="51"/>
      <c r="C69" s="29"/>
      <c r="D69" s="29"/>
      <c r="E69" s="396"/>
      <c r="F69" s="30"/>
      <c r="G69" s="373"/>
      <c r="H69" s="374"/>
      <c r="I69" s="37"/>
      <c r="J69" s="375"/>
      <c r="K69" s="376"/>
      <c r="L69" s="461"/>
      <c r="M69" s="461"/>
      <c r="N69" s="461"/>
      <c r="O69" s="462"/>
      <c r="P69" s="371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2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2">
        <f>SUM(U69:X69)</f>
        <v>0</v>
      </c>
      <c r="Z69" s="460"/>
      <c r="AA69" s="461"/>
      <c r="AB69" s="462"/>
      <c r="AC69" s="27">
        <f t="shared" si="13"/>
        <v>0</v>
      </c>
      <c r="AD69" s="57">
        <f>H69*I69</f>
        <v>0</v>
      </c>
    </row>
    <row r="70" spans="1:30" x14ac:dyDescent="0.25">
      <c r="A70" s="482"/>
      <c r="B70" s="51"/>
      <c r="C70" s="29"/>
      <c r="D70" s="48"/>
      <c r="E70" s="32"/>
      <c r="F70" s="30"/>
      <c r="G70" s="31"/>
      <c r="H70" s="40"/>
      <c r="I70" s="37"/>
      <c r="J70" s="44"/>
      <c r="K70" s="34"/>
      <c r="L70" s="455"/>
      <c r="M70" s="455"/>
      <c r="N70" s="455"/>
      <c r="O70" s="456"/>
      <c r="P70" s="361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3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62">
        <f t="shared" ref="Y70:Y88" si="16">SUM(U70:X70)</f>
        <v>0</v>
      </c>
      <c r="Z70" s="454"/>
      <c r="AA70" s="455"/>
      <c r="AB70" s="456"/>
      <c r="AC70" s="27">
        <f t="shared" si="13"/>
        <v>0</v>
      </c>
      <c r="AD70" s="16">
        <f>H70*I70</f>
        <v>0</v>
      </c>
    </row>
    <row r="71" spans="1:30" x14ac:dyDescent="0.25">
      <c r="A71" s="482"/>
      <c r="B71" s="51"/>
      <c r="C71" s="29"/>
      <c r="D71" s="48"/>
      <c r="E71" s="32"/>
      <c r="F71" s="30"/>
      <c r="G71" s="31"/>
      <c r="H71" s="40"/>
      <c r="I71" s="37"/>
      <c r="J71" s="44"/>
      <c r="K71" s="34"/>
      <c r="L71" s="455"/>
      <c r="M71" s="455"/>
      <c r="N71" s="455"/>
      <c r="O71" s="456"/>
      <c r="P71" s="361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ref="S71:S88" si="17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62">
        <f t="shared" si="16"/>
        <v>0</v>
      </c>
      <c r="Z71" s="454"/>
      <c r="AA71" s="455"/>
      <c r="AB71" s="456"/>
      <c r="AC71" s="27">
        <f t="shared" si="13"/>
        <v>0</v>
      </c>
      <c r="AD71" s="16">
        <f>H71*I71</f>
        <v>0</v>
      </c>
    </row>
    <row r="72" spans="1:30" x14ac:dyDescent="0.25">
      <c r="A72" s="482"/>
      <c r="B72" s="51"/>
      <c r="C72" s="29"/>
      <c r="D72" s="400"/>
      <c r="E72" s="399"/>
      <c r="F72" s="30"/>
      <c r="G72" s="31"/>
      <c r="H72" s="40"/>
      <c r="I72" s="37"/>
      <c r="J72" s="44"/>
      <c r="K72" s="34"/>
      <c r="L72" s="455"/>
      <c r="M72" s="455"/>
      <c r="N72" s="455"/>
      <c r="O72" s="456"/>
      <c r="P72" s="361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si="17"/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62">
        <f t="shared" si="16"/>
        <v>0</v>
      </c>
      <c r="Z72" s="454"/>
      <c r="AA72" s="455"/>
      <c r="AB72" s="456"/>
      <c r="AC72" s="27">
        <f t="shared" si="13"/>
        <v>0</v>
      </c>
      <c r="AD72" s="16">
        <f t="shared" ref="AD72:AD84" si="18">H72*I72</f>
        <v>0</v>
      </c>
    </row>
    <row r="73" spans="1:30" x14ac:dyDescent="0.25">
      <c r="A73" s="482"/>
      <c r="B73" s="51"/>
      <c r="C73" s="29"/>
      <c r="D73" s="400"/>
      <c r="E73" s="48"/>
      <c r="F73" s="30"/>
      <c r="G73" s="31"/>
      <c r="H73" s="40"/>
      <c r="I73" s="37"/>
      <c r="J73" s="44"/>
      <c r="K73" s="34"/>
      <c r="L73" s="455"/>
      <c r="M73" s="455"/>
      <c r="N73" s="455"/>
      <c r="O73" s="456"/>
      <c r="P73" s="361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7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2">
        <f t="shared" si="16"/>
        <v>0</v>
      </c>
      <c r="Z73" s="454"/>
      <c r="AA73" s="455"/>
      <c r="AB73" s="456"/>
      <c r="AC73" s="27">
        <f t="shared" si="13"/>
        <v>0</v>
      </c>
      <c r="AD73" s="16">
        <f t="shared" si="18"/>
        <v>0</v>
      </c>
    </row>
    <row r="74" spans="1:30" x14ac:dyDescent="0.25">
      <c r="A74" s="482"/>
      <c r="B74" s="51"/>
      <c r="C74" s="29"/>
      <c r="D74" s="400"/>
      <c r="E74" s="48"/>
      <c r="F74" s="30"/>
      <c r="G74" s="31"/>
      <c r="H74" s="40"/>
      <c r="I74" s="37"/>
      <c r="J74" s="44"/>
      <c r="K74" s="34"/>
      <c r="L74" s="455"/>
      <c r="M74" s="455"/>
      <c r="N74" s="455"/>
      <c r="O74" s="456"/>
      <c r="P74" s="361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7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62">
        <f t="shared" si="16"/>
        <v>0</v>
      </c>
      <c r="Z74" s="454"/>
      <c r="AA74" s="455"/>
      <c r="AB74" s="456"/>
      <c r="AC74" s="27">
        <f t="shared" si="13"/>
        <v>0</v>
      </c>
      <c r="AD74" s="16">
        <f t="shared" si="18"/>
        <v>0</v>
      </c>
    </row>
    <row r="75" spans="1:30" x14ac:dyDescent="0.25">
      <c r="A75" s="482"/>
      <c r="B75" s="51"/>
      <c r="C75" s="29"/>
      <c r="D75" s="400"/>
      <c r="E75" s="48"/>
      <c r="F75" s="30"/>
      <c r="G75" s="31"/>
      <c r="H75" s="40"/>
      <c r="I75" s="37"/>
      <c r="J75" s="44"/>
      <c r="K75" s="34"/>
      <c r="L75" s="455"/>
      <c r="M75" s="455"/>
      <c r="N75" s="455"/>
      <c r="O75" s="456"/>
      <c r="P75" s="361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17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62">
        <f t="shared" si="16"/>
        <v>0</v>
      </c>
      <c r="Z75" s="454"/>
      <c r="AA75" s="455"/>
      <c r="AB75" s="456"/>
      <c r="AC75" s="27">
        <f t="shared" si="13"/>
        <v>0</v>
      </c>
      <c r="AD75" s="16">
        <f t="shared" si="18"/>
        <v>0</v>
      </c>
    </row>
    <row r="76" spans="1:30" x14ac:dyDescent="0.25">
      <c r="A76" s="482"/>
      <c r="B76" s="51"/>
      <c r="C76" s="29"/>
      <c r="D76" s="400"/>
      <c r="E76" s="48"/>
      <c r="F76" s="30"/>
      <c r="G76" s="31"/>
      <c r="H76" s="40"/>
      <c r="I76" s="37"/>
      <c r="J76" s="44"/>
      <c r="K76" s="34"/>
      <c r="L76" s="455"/>
      <c r="M76" s="455"/>
      <c r="N76" s="455"/>
      <c r="O76" s="456"/>
      <c r="P76" s="361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7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62">
        <f t="shared" si="16"/>
        <v>0</v>
      </c>
      <c r="Z76" s="454"/>
      <c r="AA76" s="455"/>
      <c r="AB76" s="456"/>
      <c r="AC76" s="27">
        <f t="shared" si="13"/>
        <v>0</v>
      </c>
      <c r="AD76" s="16">
        <f t="shared" si="18"/>
        <v>0</v>
      </c>
    </row>
    <row r="77" spans="1:30" x14ac:dyDescent="0.25">
      <c r="A77" s="482"/>
      <c r="B77" s="51"/>
      <c r="C77" s="29"/>
      <c r="D77" s="400"/>
      <c r="E77" s="48"/>
      <c r="F77" s="30"/>
      <c r="G77" s="31"/>
      <c r="H77" s="40"/>
      <c r="I77" s="37"/>
      <c r="J77" s="44"/>
      <c r="K77" s="34"/>
      <c r="L77" s="455"/>
      <c r="M77" s="455"/>
      <c r="N77" s="455"/>
      <c r="O77" s="456"/>
      <c r="P77" s="361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7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62">
        <f t="shared" si="16"/>
        <v>0</v>
      </c>
      <c r="Z77" s="454"/>
      <c r="AA77" s="455"/>
      <c r="AB77" s="456"/>
      <c r="AC77" s="27">
        <f t="shared" si="13"/>
        <v>0</v>
      </c>
      <c r="AD77" s="16">
        <f t="shared" si="18"/>
        <v>0</v>
      </c>
    </row>
    <row r="78" spans="1:30" x14ac:dyDescent="0.25">
      <c r="A78" s="482"/>
      <c r="B78" s="51"/>
      <c r="C78" s="29"/>
      <c r="D78" s="400"/>
      <c r="E78" s="48"/>
      <c r="F78" s="30"/>
      <c r="G78" s="31"/>
      <c r="H78" s="40"/>
      <c r="I78" s="37"/>
      <c r="J78" s="44"/>
      <c r="K78" s="34"/>
      <c r="L78" s="455"/>
      <c r="M78" s="455"/>
      <c r="N78" s="455"/>
      <c r="O78" s="456"/>
      <c r="P78" s="361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7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62">
        <f t="shared" si="16"/>
        <v>0</v>
      </c>
      <c r="Z78" s="454"/>
      <c r="AA78" s="455"/>
      <c r="AB78" s="456"/>
      <c r="AC78" s="27">
        <f t="shared" si="13"/>
        <v>0</v>
      </c>
      <c r="AD78" s="16">
        <f t="shared" si="18"/>
        <v>0</v>
      </c>
    </row>
    <row r="79" spans="1:30" x14ac:dyDescent="0.25">
      <c r="A79" s="482"/>
      <c r="B79" s="51"/>
      <c r="C79" s="29"/>
      <c r="D79" s="400"/>
      <c r="E79" s="48"/>
      <c r="F79" s="30"/>
      <c r="G79" s="31"/>
      <c r="H79" s="40"/>
      <c r="I79" s="37"/>
      <c r="J79" s="44"/>
      <c r="K79" s="34"/>
      <c r="L79" s="455"/>
      <c r="M79" s="455"/>
      <c r="N79" s="455"/>
      <c r="O79" s="456"/>
      <c r="P79" s="361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7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62">
        <f t="shared" si="16"/>
        <v>0</v>
      </c>
      <c r="Z79" s="454"/>
      <c r="AA79" s="455"/>
      <c r="AB79" s="456"/>
      <c r="AC79" s="27">
        <f t="shared" si="13"/>
        <v>0</v>
      </c>
      <c r="AD79" s="16">
        <f t="shared" si="18"/>
        <v>0</v>
      </c>
    </row>
    <row r="80" spans="1:30" x14ac:dyDescent="0.25">
      <c r="A80" s="482"/>
      <c r="B80" s="51"/>
      <c r="C80" s="29"/>
      <c r="D80" s="400"/>
      <c r="E80" s="48"/>
      <c r="F80" s="30"/>
      <c r="G80" s="31"/>
      <c r="H80" s="40"/>
      <c r="I80" s="37"/>
      <c r="J80" s="44"/>
      <c r="K80" s="34"/>
      <c r="L80" s="455"/>
      <c r="M80" s="455"/>
      <c r="N80" s="455"/>
      <c r="O80" s="456"/>
      <c r="P80" s="361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7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2">
        <f t="shared" si="16"/>
        <v>0</v>
      </c>
      <c r="Z80" s="454"/>
      <c r="AA80" s="455"/>
      <c r="AB80" s="456"/>
      <c r="AC80" s="27">
        <f t="shared" si="13"/>
        <v>0</v>
      </c>
      <c r="AD80" s="16">
        <f t="shared" si="18"/>
        <v>0</v>
      </c>
    </row>
    <row r="81" spans="1:30" x14ac:dyDescent="0.25">
      <c r="A81" s="482"/>
      <c r="B81" s="51"/>
      <c r="C81" s="29"/>
      <c r="D81" s="400"/>
      <c r="E81" s="48"/>
      <c r="F81" s="30"/>
      <c r="G81" s="31"/>
      <c r="H81" s="40"/>
      <c r="I81" s="37"/>
      <c r="J81" s="44"/>
      <c r="K81" s="34"/>
      <c r="L81" s="455"/>
      <c r="M81" s="455"/>
      <c r="N81" s="455"/>
      <c r="O81" s="456"/>
      <c r="P81" s="361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7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2">
        <f t="shared" si="16"/>
        <v>0</v>
      </c>
      <c r="Z81" s="454"/>
      <c r="AA81" s="455"/>
      <c r="AB81" s="456"/>
      <c r="AC81" s="27">
        <f t="shared" si="13"/>
        <v>0</v>
      </c>
      <c r="AD81" s="16">
        <f t="shared" si="18"/>
        <v>0</v>
      </c>
    </row>
    <row r="82" spans="1:30" x14ac:dyDescent="0.25">
      <c r="A82" s="482"/>
      <c r="B82" s="51"/>
      <c r="C82" s="29"/>
      <c r="D82" s="400"/>
      <c r="E82" s="48"/>
      <c r="F82" s="30"/>
      <c r="G82" s="31"/>
      <c r="H82" s="40"/>
      <c r="I82" s="37"/>
      <c r="J82" s="44"/>
      <c r="K82" s="34"/>
      <c r="L82" s="455"/>
      <c r="M82" s="455"/>
      <c r="N82" s="455"/>
      <c r="O82" s="456"/>
      <c r="P82" s="361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7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2">
        <f t="shared" si="16"/>
        <v>0</v>
      </c>
      <c r="Z82" s="454"/>
      <c r="AA82" s="455"/>
      <c r="AB82" s="456"/>
      <c r="AC82" s="27">
        <f t="shared" si="13"/>
        <v>0</v>
      </c>
      <c r="AD82" s="16">
        <f t="shared" si="18"/>
        <v>0</v>
      </c>
    </row>
    <row r="83" spans="1:30" x14ac:dyDescent="0.25">
      <c r="A83" s="482"/>
      <c r="B83" s="51"/>
      <c r="C83" s="29"/>
      <c r="D83" s="400"/>
      <c r="E83" s="48"/>
      <c r="F83" s="30"/>
      <c r="G83" s="31"/>
      <c r="H83" s="40"/>
      <c r="I83" s="37"/>
      <c r="J83" s="44"/>
      <c r="K83" s="34"/>
      <c r="L83" s="455"/>
      <c r="M83" s="455"/>
      <c r="N83" s="455"/>
      <c r="O83" s="456"/>
      <c r="P83" s="361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7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2">
        <f t="shared" si="16"/>
        <v>0</v>
      </c>
      <c r="Z83" s="454"/>
      <c r="AA83" s="455"/>
      <c r="AB83" s="456"/>
      <c r="AC83" s="27">
        <f t="shared" si="13"/>
        <v>0</v>
      </c>
      <c r="AD83" s="16">
        <f t="shared" si="18"/>
        <v>0</v>
      </c>
    </row>
    <row r="84" spans="1:30" x14ac:dyDescent="0.25">
      <c r="A84" s="482"/>
      <c r="B84" s="51"/>
      <c r="C84" s="29"/>
      <c r="D84" s="400"/>
      <c r="E84" s="48"/>
      <c r="F84" s="30"/>
      <c r="G84" s="31"/>
      <c r="H84" s="40"/>
      <c r="I84" s="37"/>
      <c r="J84" s="44"/>
      <c r="K84" s="34"/>
      <c r="L84" s="455"/>
      <c r="M84" s="455"/>
      <c r="N84" s="455"/>
      <c r="O84" s="456"/>
      <c r="P84" s="361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7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2">
        <f t="shared" si="16"/>
        <v>0</v>
      </c>
      <c r="Z84" s="454"/>
      <c r="AA84" s="455"/>
      <c r="AB84" s="456"/>
      <c r="AC84" s="27">
        <f t="shared" si="13"/>
        <v>0</v>
      </c>
      <c r="AD84" s="16">
        <f t="shared" si="18"/>
        <v>0</v>
      </c>
    </row>
    <row r="85" spans="1:30" x14ac:dyDescent="0.25">
      <c r="A85" s="482"/>
      <c r="B85" s="51"/>
      <c r="C85" s="29"/>
      <c r="D85" s="400"/>
      <c r="E85" s="48"/>
      <c r="F85" s="30"/>
      <c r="G85" s="31"/>
      <c r="H85" s="40"/>
      <c r="I85" s="37"/>
      <c r="J85" s="44"/>
      <c r="K85" s="34"/>
      <c r="L85" s="455"/>
      <c r="M85" s="455"/>
      <c r="N85" s="455"/>
      <c r="O85" s="456"/>
      <c r="P85" s="361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7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2">
        <f t="shared" si="16"/>
        <v>0</v>
      </c>
      <c r="Z85" s="454"/>
      <c r="AA85" s="455"/>
      <c r="AB85" s="456"/>
      <c r="AC85" s="27">
        <f t="shared" si="13"/>
        <v>0</v>
      </c>
      <c r="AD85" s="16">
        <f>H85*I85</f>
        <v>0</v>
      </c>
    </row>
    <row r="86" spans="1:30" x14ac:dyDescent="0.25">
      <c r="A86" s="482"/>
      <c r="B86" s="51"/>
      <c r="C86" s="29"/>
      <c r="D86" s="400"/>
      <c r="E86" s="48"/>
      <c r="F86" s="30"/>
      <c r="G86" s="31"/>
      <c r="H86" s="40"/>
      <c r="I86" s="37"/>
      <c r="J86" s="44"/>
      <c r="K86" s="34"/>
      <c r="L86" s="455"/>
      <c r="M86" s="455"/>
      <c r="N86" s="455"/>
      <c r="O86" s="456"/>
      <c r="P86" s="361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7"/>
        <v>0</v>
      </c>
      <c r="T86" s="28">
        <f>IF(G86="",0,IF(ISERROR(R86+Q86*VLOOKUP(G86,Paramétrage!$D$6:$F$27,3,0))=TRUE,S86,R86+Q86*VLOOKUP(G86,Paramétrage!$D$6:$F$27,3,0)))</f>
        <v>0</v>
      </c>
      <c r="U86" s="39"/>
      <c r="V86" s="39"/>
      <c r="W86" s="39"/>
      <c r="X86" s="39"/>
      <c r="Y86" s="362">
        <f t="shared" si="16"/>
        <v>0</v>
      </c>
      <c r="Z86" s="454"/>
      <c r="AA86" s="455"/>
      <c r="AB86" s="456"/>
      <c r="AC86" s="27">
        <f t="shared" si="13"/>
        <v>0</v>
      </c>
      <c r="AD86" s="16">
        <f>H86*I86</f>
        <v>0</v>
      </c>
    </row>
    <row r="87" spans="1:30" x14ac:dyDescent="0.25">
      <c r="A87" s="482"/>
      <c r="B87" s="51"/>
      <c r="C87" s="29"/>
      <c r="D87" s="400"/>
      <c r="E87" s="48"/>
      <c r="F87" s="30"/>
      <c r="G87" s="31"/>
      <c r="H87" s="40"/>
      <c r="I87" s="37"/>
      <c r="J87" s="44"/>
      <c r="K87" s="34"/>
      <c r="L87" s="455"/>
      <c r="M87" s="455"/>
      <c r="N87" s="455"/>
      <c r="O87" s="456"/>
      <c r="P87" s="361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7"/>
        <v>0</v>
      </c>
      <c r="T87" s="28">
        <f>IF(G87="",0,IF(ISERROR(R87+Q87*VLOOKUP(G87,Paramétrage!$D$6:$F$27,3,0))=TRUE,S87,R87+Q87*VLOOKUP(G87,Paramétrage!$D$6:$F$27,3,0)))</f>
        <v>0</v>
      </c>
      <c r="U87" s="38"/>
      <c r="V87" s="38"/>
      <c r="W87" s="38"/>
      <c r="X87" s="38"/>
      <c r="Y87" s="362">
        <f t="shared" si="16"/>
        <v>0</v>
      </c>
      <c r="Z87" s="454"/>
      <c r="AA87" s="455"/>
      <c r="AB87" s="456"/>
      <c r="AC87" s="27">
        <f t="shared" si="13"/>
        <v>0</v>
      </c>
      <c r="AD87" s="16">
        <f>H87*I87</f>
        <v>0</v>
      </c>
    </row>
    <row r="88" spans="1:30" x14ac:dyDescent="0.25">
      <c r="A88" s="482"/>
      <c r="B88" s="51"/>
      <c r="C88" s="29"/>
      <c r="D88" s="400"/>
      <c r="E88" s="48"/>
      <c r="F88" s="30"/>
      <c r="G88" s="31"/>
      <c r="H88" s="40"/>
      <c r="I88" s="37"/>
      <c r="J88" s="44"/>
      <c r="K88" s="34"/>
      <c r="L88" s="455"/>
      <c r="M88" s="455"/>
      <c r="N88" s="455"/>
      <c r="O88" s="456"/>
      <c r="P88" s="361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7"/>
        <v>0</v>
      </c>
      <c r="T88" s="28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2">
        <f t="shared" si="16"/>
        <v>0</v>
      </c>
      <c r="Z88" s="454"/>
      <c r="AA88" s="455"/>
      <c r="AB88" s="456"/>
      <c r="AC88" s="27">
        <f t="shared" si="13"/>
        <v>0</v>
      </c>
      <c r="AD88" s="16">
        <f>H88*I88</f>
        <v>0</v>
      </c>
    </row>
    <row r="89" spans="1:30" ht="16.2" thickBot="1" x14ac:dyDescent="0.3">
      <c r="A89" s="483"/>
      <c r="B89" s="53"/>
      <c r="C89" s="19"/>
      <c r="D89" s="62"/>
      <c r="E89" s="19"/>
      <c r="F89" s="20"/>
      <c r="G89" s="18"/>
      <c r="H89" s="46">
        <f>AC89</f>
        <v>801</v>
      </c>
      <c r="I89" s="41"/>
      <c r="J89" s="45"/>
      <c r="K89" s="50"/>
      <c r="L89" s="58"/>
      <c r="M89" s="58"/>
      <c r="N89" s="58"/>
      <c r="O89" s="59"/>
      <c r="P89" s="384"/>
      <c r="Q89" s="385">
        <f>SUM(Q49:Q88)</f>
        <v>31</v>
      </c>
      <c r="R89" s="357">
        <f>SUM(R49:R88)</f>
        <v>73</v>
      </c>
      <c r="S89" s="386">
        <f>SUM(S49:S88)</f>
        <v>104</v>
      </c>
      <c r="T89" s="63">
        <f>SUM(T49:T88)</f>
        <v>104</v>
      </c>
      <c r="U89" s="386">
        <f t="shared" ref="U89" si="19">SUM(U49:U88)</f>
        <v>73.5</v>
      </c>
      <c r="V89" s="386">
        <f t="shared" ref="V89" si="20">SUM(V49:V88)</f>
        <v>0</v>
      </c>
      <c r="W89" s="386">
        <f t="shared" ref="W89" si="21">SUM(W49:W88)</f>
        <v>30.5</v>
      </c>
      <c r="X89" s="386">
        <f t="shared" ref="X89" si="22">SUM(X49:X88)</f>
        <v>0</v>
      </c>
      <c r="Y89" s="386">
        <f t="shared" ref="Y89" si="23">SUM(Y49:Y88)</f>
        <v>104</v>
      </c>
      <c r="Z89" s="366"/>
      <c r="AA89" s="60"/>
      <c r="AB89" s="367"/>
      <c r="AC89" s="61">
        <f>SUM(AC49:AC88)</f>
        <v>801</v>
      </c>
      <c r="AD89" s="26">
        <f>SUM(AD49:AD88)</f>
        <v>15628</v>
      </c>
    </row>
    <row r="90" spans="1:30" ht="16.2" thickBot="1" x14ac:dyDescent="0.3">
      <c r="A90" s="408"/>
      <c r="B90" s="21"/>
      <c r="C90" s="21"/>
      <c r="D90" s="21"/>
      <c r="E90" s="21"/>
      <c r="F90" s="21"/>
      <c r="G90" s="22"/>
      <c r="H90" s="47">
        <f>ROUND(H48+H89,1)</f>
        <v>1474</v>
      </c>
      <c r="I90" s="23"/>
      <c r="J90" s="24"/>
      <c r="K90" s="23"/>
      <c r="L90" s="23"/>
      <c r="M90" s="23"/>
      <c r="N90" s="23"/>
      <c r="O90" s="35"/>
      <c r="P90" s="43"/>
      <c r="Q90" s="64">
        <f>Q48+Q89</f>
        <v>328</v>
      </c>
      <c r="R90" s="64">
        <f t="shared" ref="R90:T90" si="24">R48+R89</f>
        <v>95</v>
      </c>
      <c r="S90" s="64">
        <f t="shared" si="24"/>
        <v>423</v>
      </c>
      <c r="T90" s="64">
        <f t="shared" si="24"/>
        <v>423</v>
      </c>
    </row>
    <row r="91" spans="1:30" ht="18" customHeight="1" x14ac:dyDescent="0.25">
      <c r="M91" s="25"/>
    </row>
  </sheetData>
  <sheetProtection algorithmName="SHA-512" hashValue="XGIzkByEpkf9lX6y1acV29wK0Azr8SW0/pCbFUrjkcpyHDC7DP6337fLPMsKjibjn0Pv2Pj7kuqtOSZkdnBheA==" saltValue="m0y3GW87OZOm9R0Ujyetdw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67" priority="381">
      <formula>$G8=#REF!</formula>
    </cfRule>
    <cfRule type="expression" dxfId="66" priority="382">
      <formula>$G8=#REF!</formula>
    </cfRule>
    <cfRule type="expression" dxfId="65" priority="383">
      <formula>$G8=#REF!</formula>
    </cfRule>
    <cfRule type="expression" dxfId="64" priority="384">
      <formula>$G8=#REF!</formula>
    </cfRule>
  </conditionalFormatting>
  <conditionalFormatting sqref="Z9:Z11">
    <cfRule type="expression" dxfId="63" priority="347">
      <formula>$G9=#REF!</formula>
    </cfRule>
    <cfRule type="expression" dxfId="62" priority="348">
      <formula>$G9=#REF!</formula>
    </cfRule>
    <cfRule type="expression" dxfId="61" priority="349">
      <formula>$G9=#REF!</formula>
    </cfRule>
    <cfRule type="expression" dxfId="60" priority="350">
      <formula>$G9=#REF!</formula>
    </cfRule>
  </conditionalFormatting>
  <conditionalFormatting sqref="Z28:Z29">
    <cfRule type="expression" dxfId="59" priority="333">
      <formula>$G28=#REF!</formula>
    </cfRule>
    <cfRule type="expression" dxfId="58" priority="334">
      <formula>$G28=#REF!</formula>
    </cfRule>
    <cfRule type="expression" dxfId="57" priority="335">
      <formula>$G28=#REF!</formula>
    </cfRule>
    <cfRule type="expression" dxfId="56" priority="336">
      <formula>$G28=#REF!</formula>
    </cfRule>
  </conditionalFormatting>
  <conditionalFormatting sqref="Z49:Z68">
    <cfRule type="expression" dxfId="55" priority="319">
      <formula>$G49=#REF!</formula>
    </cfRule>
    <cfRule type="expression" dxfId="54" priority="320">
      <formula>$G49=#REF!</formula>
    </cfRule>
    <cfRule type="expression" dxfId="53" priority="321">
      <formula>$G49=#REF!</formula>
    </cfRule>
    <cfRule type="expression" dxfId="52" priority="322">
      <formula>$G49=#REF!</formula>
    </cfRule>
  </conditionalFormatting>
  <conditionalFormatting sqref="Z69:Z71">
    <cfRule type="expression" dxfId="51" priority="305">
      <formula>$G69=#REF!</formula>
    </cfRule>
    <cfRule type="expression" dxfId="50" priority="306">
      <formula>$G69=#REF!</formula>
    </cfRule>
    <cfRule type="expression" dxfId="49" priority="307">
      <formula>$G69=#REF!</formula>
    </cfRule>
    <cfRule type="expression" dxfId="48" priority="308">
      <formula>$G69=#REF!</formula>
    </cfRule>
  </conditionalFormatting>
  <conditionalFormatting sqref="K90">
    <cfRule type="cellIs" dxfId="47" priority="100" operator="equal">
      <formula>"Mut+ext"</formula>
    </cfRule>
  </conditionalFormatting>
  <conditionalFormatting sqref="K48 K89">
    <cfRule type="cellIs" dxfId="46" priority="115" operator="equal">
      <formula>"Mut+ext"</formula>
    </cfRule>
  </conditionalFormatting>
  <conditionalFormatting sqref="K8:K28">
    <cfRule type="cellIs" dxfId="45" priority="112" operator="equal">
      <formula>"Mut+ext"</formula>
    </cfRule>
  </conditionalFormatting>
  <conditionalFormatting sqref="K28:K47">
    <cfRule type="cellIs" dxfId="44" priority="110" operator="equal">
      <formula>"Mut+ext"</formula>
    </cfRule>
  </conditionalFormatting>
  <conditionalFormatting sqref="K49:K68">
    <cfRule type="cellIs" dxfId="43" priority="108" operator="equal">
      <formula>"Mut+ext"</formula>
    </cfRule>
  </conditionalFormatting>
  <conditionalFormatting sqref="K69:K71 K85:K88">
    <cfRule type="cellIs" dxfId="42" priority="106" operator="equal">
      <formula>"Mut+ext"</formula>
    </cfRule>
  </conditionalFormatting>
  <conditionalFormatting sqref="Z12:Z24">
    <cfRule type="expression" dxfId="41" priority="67">
      <formula>$G12=#REF!</formula>
    </cfRule>
    <cfRule type="expression" dxfId="40" priority="68">
      <formula>$G12=#REF!</formula>
    </cfRule>
    <cfRule type="expression" dxfId="39" priority="69">
      <formula>$G12=#REF!</formula>
    </cfRule>
    <cfRule type="expression" dxfId="38" priority="70">
      <formula>$G12=#REF!</formula>
    </cfRule>
  </conditionalFormatting>
  <conditionalFormatting sqref="Z30">
    <cfRule type="expression" dxfId="37" priority="63">
      <formula>$G30=#REF!</formula>
    </cfRule>
    <cfRule type="expression" dxfId="36" priority="64">
      <formula>$G30=#REF!</formula>
    </cfRule>
    <cfRule type="expression" dxfId="35" priority="65">
      <formula>$G30=#REF!</formula>
    </cfRule>
    <cfRule type="expression" dxfId="34" priority="66">
      <formula>$G30=#REF!</formula>
    </cfRule>
  </conditionalFormatting>
  <conditionalFormatting sqref="Z31:Z32">
    <cfRule type="expression" dxfId="33" priority="55">
      <formula>$G31=#REF!</formula>
    </cfRule>
    <cfRule type="expression" dxfId="32" priority="56">
      <formula>$G31=#REF!</formula>
    </cfRule>
    <cfRule type="expression" dxfId="31" priority="57">
      <formula>$G31=#REF!</formula>
    </cfRule>
    <cfRule type="expression" dxfId="30" priority="58">
      <formula>$G31=#REF!</formula>
    </cfRule>
  </conditionalFormatting>
  <conditionalFormatting sqref="Z33:Z34">
    <cfRule type="expression" dxfId="29" priority="51">
      <formula>$G33=#REF!</formula>
    </cfRule>
    <cfRule type="expression" dxfId="28" priority="52">
      <formula>$G33=#REF!</formula>
    </cfRule>
    <cfRule type="expression" dxfId="27" priority="53">
      <formula>$G33=#REF!</formula>
    </cfRule>
    <cfRule type="expression" dxfId="26" priority="54">
      <formula>$G33=#REF!</formula>
    </cfRule>
  </conditionalFormatting>
  <conditionalFormatting sqref="Z72:Z84">
    <cfRule type="expression" dxfId="25" priority="47">
      <formula>$G72=#REF!</formula>
    </cfRule>
    <cfRule type="expression" dxfId="24" priority="48">
      <formula>$G72=#REF!</formula>
    </cfRule>
    <cfRule type="expression" dxfId="23" priority="49">
      <formula>$G72=#REF!</formula>
    </cfRule>
    <cfRule type="expression" dxfId="22" priority="50">
      <formula>$G72=#REF!</formula>
    </cfRule>
  </conditionalFormatting>
  <conditionalFormatting sqref="K72:K84">
    <cfRule type="cellIs" dxfId="21" priority="45" operator="equal">
      <formula>"Mut+ext"</formula>
    </cfRule>
  </conditionalFormatting>
  <conditionalFormatting sqref="Y28:Y47">
    <cfRule type="cellIs" dxfId="20" priority="33" operator="notEqual">
      <formula>S28</formula>
    </cfRule>
  </conditionalFormatting>
  <conditionalFormatting sqref="Y49:Y68">
    <cfRule type="cellIs" dxfId="19" priority="31" operator="notEqual">
      <formula>S49</formula>
    </cfRule>
  </conditionalFormatting>
  <conditionalFormatting sqref="Y69:Y88">
    <cfRule type="cellIs" dxfId="18" priority="29" operator="notEqual">
      <formula>S69</formula>
    </cfRule>
  </conditionalFormatting>
  <conditionalFormatting sqref="Y8:Y27">
    <cfRule type="cellIs" dxfId="17" priority="23" operator="notEqual">
      <formula>S8</formula>
    </cfRule>
  </conditionalFormatting>
  <conditionalFormatting sqref="F31:F47">
    <cfRule type="expression" dxfId="16" priority="19">
      <formula>E31="obligatoire"</formula>
    </cfRule>
  </conditionalFormatting>
  <conditionalFormatting sqref="F61:F68">
    <cfRule type="expression" dxfId="15" priority="18">
      <formula>E61="obligatoire"</formula>
    </cfRule>
  </conditionalFormatting>
  <conditionalFormatting sqref="F69:F88">
    <cfRule type="expression" dxfId="14" priority="17">
      <formula>E69="obligatoire"</formula>
    </cfRule>
  </conditionalFormatting>
  <conditionalFormatting sqref="F56:F59">
    <cfRule type="expression" dxfId="13" priority="12">
      <formula>E56="obligatoire"</formula>
    </cfRule>
  </conditionalFormatting>
  <conditionalFormatting sqref="F57">
    <cfRule type="expression" dxfId="12" priority="7">
      <formula>E57="obligatoire"</formula>
    </cfRule>
  </conditionalFormatting>
  <conditionalFormatting sqref="F57">
    <cfRule type="expression" dxfId="11" priority="6">
      <formula>E57="obligatoire"</formula>
    </cfRule>
  </conditionalFormatting>
  <conditionalFormatting sqref="F60">
    <cfRule type="expression" dxfId="10" priority="5">
      <formula>E60="obligatoire"</formula>
    </cfRule>
  </conditionalFormatting>
  <conditionalFormatting sqref="F59">
    <cfRule type="expression" dxfId="9" priority="1">
      <formula>E59="obligatoire"</formula>
    </cfRule>
  </conditionalFormatting>
  <dataValidations count="5">
    <dataValidation type="list" allowBlank="1" showInputMessage="1" showErrorMessage="1" sqref="G48">
      <formula1>#REF!</formula1>
    </dataValidation>
    <dataValidation type="list" allowBlank="1" showInputMessage="1" showErrorMessage="1" sqref="F8:F88">
      <formula1>"1,2,3,4"</formula1>
    </dataValidation>
    <dataValidation type="list" allowBlank="1" showInputMessage="1" showErrorMessage="1" sqref="E8:E88">
      <formula1>"Obligatoire,Option"</formula1>
    </dataValidation>
    <dataValidation type="list" allowBlank="1" showInputMessage="1" showErrorMessage="1" sqref="K49:K88 K8:K47">
      <formula1>"Non,Mut,Mut+ext"</formula1>
    </dataValidation>
    <dataValidation type="list" allowBlank="1" showInputMessage="1" showErrorMessage="1" sqref="D49:D88 D8:D47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"/>
  <sheetViews>
    <sheetView zoomScaleNormal="100" workbookViewId="0">
      <pane ySplit="11" topLeftCell="A12" activePane="bottomLeft" state="frozen"/>
      <selection pane="bottomLeft" activeCell="D21" sqref="D21"/>
    </sheetView>
  </sheetViews>
  <sheetFormatPr baseColWidth="10" defaultColWidth="11.44140625" defaultRowHeight="13.8" x14ac:dyDescent="0.25"/>
  <cols>
    <col min="1" max="1" width="3.109375" style="66" customWidth="1"/>
    <col min="2" max="2" width="12.6640625" style="66" customWidth="1"/>
    <col min="3" max="3" width="24" style="66" customWidth="1"/>
    <col min="4" max="6" width="11.44140625" style="66"/>
    <col min="7" max="7" width="11.44140625" style="66" customWidth="1"/>
    <col min="8" max="11" width="11.44140625" style="66"/>
    <col min="12" max="12" width="22.33203125" style="66" customWidth="1"/>
    <col min="13" max="13" width="11.44140625" style="66" customWidth="1"/>
    <col min="14" max="14" width="24.33203125" style="66" customWidth="1"/>
    <col min="15" max="15" width="9.77734375" style="66" customWidth="1"/>
    <col min="16" max="17" width="6.6640625" style="66" customWidth="1"/>
    <col min="18" max="16384" width="11.44140625" style="66"/>
  </cols>
  <sheetData>
    <row r="1" spans="1:17" ht="7.2" customHeight="1" thickBot="1" x14ac:dyDescent="0.3">
      <c r="H1" s="67"/>
      <c r="I1" s="68"/>
      <c r="J1" s="69"/>
      <c r="K1" s="67"/>
      <c r="L1" s="67"/>
    </row>
    <row r="2" spans="1:17" ht="28.2" customHeight="1" thickBot="1" x14ac:dyDescent="0.3">
      <c r="A2" s="70"/>
      <c r="B2" s="492" t="s">
        <v>106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4"/>
    </row>
    <row r="3" spans="1:17" ht="12.45" customHeight="1" x14ac:dyDescent="0.25">
      <c r="F3" s="67"/>
      <c r="G3" s="67"/>
      <c r="H3" s="67"/>
      <c r="I3" s="67"/>
      <c r="J3" s="69"/>
      <c r="K3" s="67"/>
      <c r="L3" s="67"/>
    </row>
    <row r="4" spans="1:17" ht="22.2" customHeight="1" x14ac:dyDescent="0.25">
      <c r="C4" s="71" t="s">
        <v>107</v>
      </c>
      <c r="D4" s="489" t="s">
        <v>108</v>
      </c>
      <c r="E4" s="491"/>
      <c r="G4" s="71" t="s">
        <v>109</v>
      </c>
      <c r="H4" s="489" t="s">
        <v>110</v>
      </c>
      <c r="I4" s="490"/>
      <c r="J4" s="490"/>
      <c r="K4" s="491"/>
    </row>
    <row r="5" spans="1:17" ht="22.2" customHeight="1" x14ac:dyDescent="0.25">
      <c r="C5" s="72" t="s">
        <v>111</v>
      </c>
      <c r="D5" s="489">
        <v>34104</v>
      </c>
      <c r="E5" s="491"/>
      <c r="G5" s="71" t="s">
        <v>112</v>
      </c>
      <c r="H5" s="489" t="s">
        <v>113</v>
      </c>
      <c r="I5" s="490"/>
      <c r="J5" s="490"/>
      <c r="K5" s="491"/>
    </row>
    <row r="6" spans="1:17" ht="22.2" customHeight="1" x14ac:dyDescent="0.25">
      <c r="C6" s="487" t="s">
        <v>114</v>
      </c>
      <c r="D6" s="488"/>
      <c r="E6" s="73">
        <v>25</v>
      </c>
      <c r="G6" s="71" t="s">
        <v>115</v>
      </c>
      <c r="H6" s="489" t="s">
        <v>116</v>
      </c>
      <c r="I6" s="490"/>
      <c r="J6" s="490"/>
      <c r="K6" s="491"/>
      <c r="N6" s="74" t="s">
        <v>117</v>
      </c>
    </row>
    <row r="7" spans="1:17" ht="22.2" customHeight="1" x14ac:dyDescent="0.25">
      <c r="C7" s="487" t="s">
        <v>118</v>
      </c>
      <c r="D7" s="488"/>
      <c r="E7" s="73">
        <f>F28</f>
        <v>7</v>
      </c>
      <c r="G7" s="75" t="s">
        <v>119</v>
      </c>
      <c r="J7" s="76">
        <v>2022</v>
      </c>
      <c r="K7" s="76">
        <v>2023</v>
      </c>
    </row>
    <row r="8" spans="1:17" ht="18" customHeight="1" x14ac:dyDescent="0.25">
      <c r="E8" s="77"/>
      <c r="G8" s="78"/>
    </row>
    <row r="9" spans="1:17" ht="25.95" customHeight="1" x14ac:dyDescent="0.25">
      <c r="B9" s="497" t="s">
        <v>120</v>
      </c>
      <c r="C9" s="497"/>
      <c r="D9" s="497"/>
      <c r="E9" s="79">
        <f>'Budget détaillé'!J75</f>
        <v>-79730.400000000009</v>
      </c>
      <c r="F9" s="498" t="s">
        <v>121</v>
      </c>
      <c r="G9" s="498"/>
      <c r="H9" s="80"/>
      <c r="I9" s="81" t="s">
        <v>122</v>
      </c>
      <c r="J9" s="79">
        <f>'Recettes et simulat'!J28+'Recettes et simulat'!F39-'Budget détaillé'!K62</f>
        <v>3830.3999999999942</v>
      </c>
    </row>
    <row r="10" spans="1:17" ht="22.2" customHeight="1" x14ac:dyDescent="0.25">
      <c r="B10" s="497" t="s">
        <v>123</v>
      </c>
      <c r="C10" s="497"/>
      <c r="D10" s="497"/>
      <c r="E10" s="79">
        <f>E9+J9</f>
        <v>-75900.000000000015</v>
      </c>
      <c r="F10" s="498"/>
      <c r="G10" s="498"/>
      <c r="H10" s="499" t="s">
        <v>124</v>
      </c>
      <c r="I10" s="500"/>
      <c r="J10" s="79">
        <f>'Budget détaillé'!K63</f>
        <v>5763.5142857142864</v>
      </c>
    </row>
    <row r="11" spans="1:17" ht="16.95" customHeight="1" thickBot="1" x14ac:dyDescent="0.3"/>
    <row r="12" spans="1:17" ht="18.45" customHeight="1" thickBot="1" x14ac:dyDescent="0.3">
      <c r="B12" s="501" t="s">
        <v>125</v>
      </c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3"/>
    </row>
    <row r="13" spans="1:17" ht="14.4" thickBot="1" x14ac:dyDescent="0.3"/>
    <row r="14" spans="1:17" ht="55.8" thickBot="1" x14ac:dyDescent="0.3">
      <c r="B14" s="82" t="s">
        <v>126</v>
      </c>
      <c r="C14" s="83" t="s">
        <v>127</v>
      </c>
      <c r="D14" s="83" t="s">
        <v>13</v>
      </c>
      <c r="E14" s="83" t="s">
        <v>128</v>
      </c>
      <c r="F14" s="83" t="s">
        <v>129</v>
      </c>
      <c r="G14" s="83" t="s">
        <v>0</v>
      </c>
      <c r="H14" s="84" t="s">
        <v>130</v>
      </c>
      <c r="I14" s="83" t="s">
        <v>131</v>
      </c>
      <c r="J14" s="83" t="s">
        <v>132</v>
      </c>
      <c r="K14" s="83" t="s">
        <v>133</v>
      </c>
      <c r="L14" s="504" t="s">
        <v>134</v>
      </c>
      <c r="M14" s="494"/>
      <c r="O14" s="85" t="s">
        <v>135</v>
      </c>
      <c r="P14" s="85">
        <v>250</v>
      </c>
      <c r="Q14" s="85">
        <v>400</v>
      </c>
    </row>
    <row r="15" spans="1:17" ht="20.55" customHeight="1" x14ac:dyDescent="0.25">
      <c r="B15" s="505" t="s">
        <v>136</v>
      </c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7"/>
      <c r="O15" s="85" t="s">
        <v>137</v>
      </c>
      <c r="P15" s="85">
        <v>400</v>
      </c>
      <c r="Q15" s="85"/>
    </row>
    <row r="16" spans="1:17" ht="16.95" customHeight="1" thickBot="1" x14ac:dyDescent="0.3">
      <c r="B16" s="508" t="s">
        <v>138</v>
      </c>
      <c r="C16" s="509"/>
      <c r="D16" s="86"/>
      <c r="E16" s="87">
        <v>243</v>
      </c>
      <c r="F16" s="88">
        <f>E6-E7</f>
        <v>18</v>
      </c>
      <c r="G16" s="89">
        <f>E16*F16</f>
        <v>4374</v>
      </c>
      <c r="H16" s="90"/>
      <c r="I16" s="91"/>
      <c r="J16" s="91"/>
      <c r="K16" s="92"/>
      <c r="L16" s="91"/>
      <c r="M16" s="93"/>
    </row>
    <row r="17" spans="2:13" ht="21" customHeight="1" x14ac:dyDescent="0.25">
      <c r="B17" s="505" t="s">
        <v>139</v>
      </c>
      <c r="C17" s="506"/>
      <c r="D17" s="506"/>
      <c r="E17" s="506"/>
      <c r="F17" s="506"/>
      <c r="G17" s="506"/>
      <c r="H17" s="506"/>
      <c r="I17" s="506"/>
      <c r="J17" s="506"/>
      <c r="K17" s="506"/>
      <c r="L17" s="506"/>
      <c r="M17" s="507"/>
    </row>
    <row r="18" spans="2:13" x14ac:dyDescent="0.25">
      <c r="B18" s="94" t="s">
        <v>140</v>
      </c>
      <c r="C18" s="95" t="s">
        <v>137</v>
      </c>
      <c r="D18" s="448">
        <f>Enseignements!I4+Enseignements!K4+Enseignements!H30+Enseignements!H31</f>
        <v>443</v>
      </c>
      <c r="E18" s="87">
        <v>7500</v>
      </c>
      <c r="F18" s="73">
        <v>2</v>
      </c>
      <c r="G18" s="89">
        <f>E18*F18</f>
        <v>15000</v>
      </c>
      <c r="H18" s="89">
        <f t="shared" ref="H18:H27" si="0">IF(D18=0,0,E18/D18)</f>
        <v>16.930022573363431</v>
      </c>
      <c r="I18" s="96">
        <v>0.05</v>
      </c>
      <c r="J18" s="89">
        <f>G18*(1-I18)</f>
        <v>14250</v>
      </c>
      <c r="K18" s="89">
        <f t="shared" ref="K18:K27" si="1">IF((D18*F18)=0,0,J18/(D18*F18))</f>
        <v>16.083521444695261</v>
      </c>
      <c r="L18" s="495"/>
      <c r="M18" s="496"/>
    </row>
    <row r="19" spans="2:13" x14ac:dyDescent="0.25">
      <c r="B19" s="94" t="s">
        <v>141</v>
      </c>
      <c r="C19" s="95" t="s">
        <v>135</v>
      </c>
      <c r="D19" s="448">
        <f>Enseignements!I4+Enseignements!K4+Enseignements!H30+Enseignements!H31</f>
        <v>443</v>
      </c>
      <c r="E19" s="87">
        <v>7500</v>
      </c>
      <c r="F19" s="73">
        <v>2</v>
      </c>
      <c r="G19" s="89">
        <f t="shared" ref="G19:G27" si="2">E19*F19</f>
        <v>15000</v>
      </c>
      <c r="H19" s="89">
        <f t="shared" si="0"/>
        <v>16.930022573363431</v>
      </c>
      <c r="I19" s="96">
        <v>0.05</v>
      </c>
      <c r="J19" s="89">
        <f t="shared" ref="J19:J27" si="3">G19*(1-I19)</f>
        <v>14250</v>
      </c>
      <c r="K19" s="89">
        <f t="shared" si="1"/>
        <v>16.083521444695261</v>
      </c>
      <c r="L19" s="495"/>
      <c r="M19" s="496"/>
    </row>
    <row r="20" spans="2:13" x14ac:dyDescent="0.25">
      <c r="B20" s="94" t="s">
        <v>142</v>
      </c>
      <c r="C20" s="95" t="s">
        <v>143</v>
      </c>
      <c r="D20" s="448">
        <f>Enseignements!I3+Enseignements!K3+Enseignements!H30+Enseignements!H31</f>
        <v>591</v>
      </c>
      <c r="E20" s="87">
        <v>5500</v>
      </c>
      <c r="F20" s="73">
        <v>3</v>
      </c>
      <c r="G20" s="89">
        <f t="shared" si="2"/>
        <v>16500</v>
      </c>
      <c r="H20" s="89">
        <f t="shared" si="0"/>
        <v>9.3062605752961076</v>
      </c>
      <c r="I20" s="96">
        <v>0.05</v>
      </c>
      <c r="J20" s="89">
        <f t="shared" si="3"/>
        <v>15675</v>
      </c>
      <c r="K20" s="89">
        <f t="shared" si="1"/>
        <v>8.8409475465313037</v>
      </c>
      <c r="L20" s="495"/>
      <c r="M20" s="496"/>
    </row>
    <row r="21" spans="2:13" x14ac:dyDescent="0.25">
      <c r="B21" s="94" t="s">
        <v>144</v>
      </c>
      <c r="C21" s="95"/>
      <c r="D21" s="73"/>
      <c r="E21" s="87"/>
      <c r="F21" s="73"/>
      <c r="G21" s="89">
        <f t="shared" si="2"/>
        <v>0</v>
      </c>
      <c r="H21" s="89">
        <f t="shared" si="0"/>
        <v>0</v>
      </c>
      <c r="I21" s="96"/>
      <c r="J21" s="89">
        <f t="shared" si="3"/>
        <v>0</v>
      </c>
      <c r="K21" s="89">
        <f t="shared" si="1"/>
        <v>0</v>
      </c>
      <c r="L21" s="495"/>
      <c r="M21" s="496"/>
    </row>
    <row r="22" spans="2:13" x14ac:dyDescent="0.25">
      <c r="B22" s="94" t="s">
        <v>145</v>
      </c>
      <c r="C22" s="95"/>
      <c r="D22" s="73"/>
      <c r="E22" s="87"/>
      <c r="F22" s="73"/>
      <c r="G22" s="89">
        <f t="shared" si="2"/>
        <v>0</v>
      </c>
      <c r="H22" s="89">
        <f t="shared" si="0"/>
        <v>0</v>
      </c>
      <c r="I22" s="96"/>
      <c r="J22" s="89">
        <f t="shared" si="3"/>
        <v>0</v>
      </c>
      <c r="K22" s="89">
        <f t="shared" si="1"/>
        <v>0</v>
      </c>
      <c r="L22" s="495"/>
      <c r="M22" s="496"/>
    </row>
    <row r="23" spans="2:13" x14ac:dyDescent="0.25">
      <c r="B23" s="94" t="s">
        <v>146</v>
      </c>
      <c r="C23" s="95"/>
      <c r="D23" s="73"/>
      <c r="E23" s="87"/>
      <c r="F23" s="73"/>
      <c r="G23" s="89">
        <f t="shared" si="2"/>
        <v>0</v>
      </c>
      <c r="H23" s="89">
        <f t="shared" si="0"/>
        <v>0</v>
      </c>
      <c r="I23" s="96"/>
      <c r="J23" s="89">
        <f t="shared" si="3"/>
        <v>0</v>
      </c>
      <c r="K23" s="89">
        <f t="shared" si="1"/>
        <v>0</v>
      </c>
      <c r="L23" s="495"/>
      <c r="M23" s="496"/>
    </row>
    <row r="24" spans="2:13" x14ac:dyDescent="0.25">
      <c r="B24" s="94" t="s">
        <v>147</v>
      </c>
      <c r="C24" s="95"/>
      <c r="D24" s="73"/>
      <c r="E24" s="87"/>
      <c r="F24" s="73"/>
      <c r="G24" s="89">
        <f t="shared" si="2"/>
        <v>0</v>
      </c>
      <c r="H24" s="89">
        <f t="shared" si="0"/>
        <v>0</v>
      </c>
      <c r="I24" s="96"/>
      <c r="J24" s="89">
        <f t="shared" si="3"/>
        <v>0</v>
      </c>
      <c r="K24" s="89">
        <f t="shared" si="1"/>
        <v>0</v>
      </c>
      <c r="L24" s="495"/>
      <c r="M24" s="496"/>
    </row>
    <row r="25" spans="2:13" x14ac:dyDescent="0.25">
      <c r="B25" s="94" t="s">
        <v>148</v>
      </c>
      <c r="C25" s="95"/>
      <c r="D25" s="73"/>
      <c r="E25" s="87"/>
      <c r="F25" s="73"/>
      <c r="G25" s="89">
        <f t="shared" si="2"/>
        <v>0</v>
      </c>
      <c r="H25" s="89">
        <f t="shared" si="0"/>
        <v>0</v>
      </c>
      <c r="I25" s="96"/>
      <c r="J25" s="89">
        <f t="shared" si="3"/>
        <v>0</v>
      </c>
      <c r="K25" s="89">
        <f t="shared" si="1"/>
        <v>0</v>
      </c>
      <c r="L25" s="495"/>
      <c r="M25" s="496"/>
    </row>
    <row r="26" spans="2:13" x14ac:dyDescent="0.25">
      <c r="B26" s="94" t="s">
        <v>149</v>
      </c>
      <c r="C26" s="95"/>
      <c r="D26" s="73"/>
      <c r="E26" s="87"/>
      <c r="F26" s="73"/>
      <c r="G26" s="89">
        <f t="shared" si="2"/>
        <v>0</v>
      </c>
      <c r="H26" s="89">
        <f t="shared" si="0"/>
        <v>0</v>
      </c>
      <c r="I26" s="96"/>
      <c r="J26" s="89">
        <f t="shared" si="3"/>
        <v>0</v>
      </c>
      <c r="K26" s="89">
        <f t="shared" si="1"/>
        <v>0</v>
      </c>
      <c r="L26" s="495"/>
      <c r="M26" s="496"/>
    </row>
    <row r="27" spans="2:13" x14ac:dyDescent="0.25">
      <c r="B27" s="97" t="s">
        <v>150</v>
      </c>
      <c r="C27" s="98"/>
      <c r="D27" s="73"/>
      <c r="E27" s="99"/>
      <c r="F27" s="73"/>
      <c r="G27" s="89">
        <f t="shared" si="2"/>
        <v>0</v>
      </c>
      <c r="H27" s="89">
        <f t="shared" si="0"/>
        <v>0</v>
      </c>
      <c r="I27" s="96"/>
      <c r="J27" s="89">
        <f t="shared" si="3"/>
        <v>0</v>
      </c>
      <c r="K27" s="89">
        <f t="shared" si="1"/>
        <v>0</v>
      </c>
      <c r="L27" s="495"/>
      <c r="M27" s="496"/>
    </row>
    <row r="28" spans="2:13" ht="14.4" thickBot="1" x14ac:dyDescent="0.3">
      <c r="B28" s="515" t="s">
        <v>151</v>
      </c>
      <c r="C28" s="516"/>
      <c r="D28" s="100"/>
      <c r="E28" s="101"/>
      <c r="F28" s="100">
        <f>SUM(F18:F27)</f>
        <v>7</v>
      </c>
      <c r="G28" s="102">
        <f>SUM(G18:G27)</f>
        <v>46500</v>
      </c>
      <c r="H28" s="103">
        <f>IF(SUMPRODUCT(F18:F27,D18:D27)=0,0,G28/SUMPRODUCT(F18:F27,D18:D27))</f>
        <v>13.117066290550071</v>
      </c>
      <c r="I28" s="100"/>
      <c r="J28" s="102">
        <f>SUM(J18:J27)</f>
        <v>44175</v>
      </c>
      <c r="K28" s="102">
        <f>IF(D28=0,0,IF(SUMPRODUCT(F18:F27,D18:D27)=0,0,J28/SUMPRODUCT(F18:F27,D18:D27)))</f>
        <v>0</v>
      </c>
      <c r="L28" s="517"/>
      <c r="M28" s="518"/>
    </row>
    <row r="29" spans="2:13" x14ac:dyDescent="0.25">
      <c r="B29" s="75"/>
      <c r="C29" s="75"/>
      <c r="D29" s="72"/>
      <c r="E29" s="78"/>
      <c r="F29" s="72"/>
      <c r="G29" s="104"/>
      <c r="H29" s="104"/>
      <c r="I29" s="78"/>
      <c r="J29" s="104"/>
      <c r="K29" s="104"/>
      <c r="L29" s="104"/>
      <c r="M29" s="78"/>
    </row>
    <row r="30" spans="2:13" ht="14.4" thickBot="1" x14ac:dyDescent="0.3"/>
    <row r="31" spans="2:13" ht="18.45" customHeight="1" thickBot="1" x14ac:dyDescent="0.3">
      <c r="B31" s="501" t="s">
        <v>152</v>
      </c>
      <c r="C31" s="502"/>
      <c r="D31" s="502"/>
      <c r="E31" s="502"/>
      <c r="F31" s="502"/>
      <c r="G31" s="502"/>
      <c r="H31" s="502"/>
      <c r="I31" s="502"/>
      <c r="J31" s="502"/>
      <c r="K31" s="502"/>
      <c r="L31" s="502"/>
      <c r="M31" s="503"/>
    </row>
    <row r="32" spans="2:13" ht="14.4" thickBot="1" x14ac:dyDescent="0.3"/>
    <row r="33" spans="2:13" ht="21" customHeight="1" x14ac:dyDescent="0.25">
      <c r="B33" s="510" t="s">
        <v>153</v>
      </c>
      <c r="C33" s="511"/>
      <c r="D33" s="512"/>
      <c r="E33" s="105" t="s">
        <v>154</v>
      </c>
      <c r="F33" s="105" t="s">
        <v>155</v>
      </c>
      <c r="G33" s="513" t="s">
        <v>156</v>
      </c>
      <c r="H33" s="511"/>
      <c r="I33" s="511"/>
      <c r="J33" s="511"/>
      <c r="K33" s="514"/>
    </row>
    <row r="34" spans="2:13" x14ac:dyDescent="0.25">
      <c r="B34" s="519"/>
      <c r="C34" s="520"/>
      <c r="D34" s="520"/>
      <c r="E34" s="95"/>
      <c r="F34" s="87"/>
      <c r="G34" s="521"/>
      <c r="H34" s="521"/>
      <c r="I34" s="521"/>
      <c r="J34" s="521"/>
      <c r="K34" s="522"/>
    </row>
    <row r="35" spans="2:13" x14ac:dyDescent="0.25">
      <c r="B35" s="519"/>
      <c r="C35" s="520"/>
      <c r="D35" s="520"/>
      <c r="E35" s="95"/>
      <c r="F35" s="87"/>
      <c r="G35" s="521"/>
      <c r="H35" s="521"/>
      <c r="I35" s="521"/>
      <c r="J35" s="521"/>
      <c r="K35" s="522"/>
    </row>
    <row r="36" spans="2:13" x14ac:dyDescent="0.25">
      <c r="B36" s="519"/>
      <c r="C36" s="520"/>
      <c r="D36" s="520"/>
      <c r="E36" s="95"/>
      <c r="F36" s="87"/>
      <c r="G36" s="521"/>
      <c r="H36" s="521"/>
      <c r="I36" s="521"/>
      <c r="J36" s="521"/>
      <c r="K36" s="522"/>
    </row>
    <row r="37" spans="2:13" x14ac:dyDescent="0.25">
      <c r="B37" s="523"/>
      <c r="C37" s="524"/>
      <c r="D37" s="524"/>
      <c r="E37" s="95"/>
      <c r="F37" s="87"/>
      <c r="G37" s="521"/>
      <c r="H37" s="521"/>
      <c r="I37" s="521"/>
      <c r="J37" s="521"/>
      <c r="K37" s="522"/>
    </row>
    <row r="38" spans="2:13" x14ac:dyDescent="0.25">
      <c r="B38" s="523"/>
      <c r="C38" s="524"/>
      <c r="D38" s="524"/>
      <c r="E38" s="95"/>
      <c r="F38" s="87"/>
      <c r="G38" s="521"/>
      <c r="H38" s="521"/>
      <c r="I38" s="521"/>
      <c r="J38" s="521"/>
      <c r="K38" s="522"/>
    </row>
    <row r="39" spans="2:13" ht="14.4" thickBot="1" x14ac:dyDescent="0.3">
      <c r="B39" s="525" t="s">
        <v>157</v>
      </c>
      <c r="C39" s="526"/>
      <c r="D39" s="526"/>
      <c r="E39" s="526"/>
      <c r="F39" s="106">
        <f>SUM(F34:F38)</f>
        <v>0</v>
      </c>
      <c r="G39" s="527"/>
      <c r="H39" s="528"/>
      <c r="I39" s="528"/>
      <c r="J39" s="528"/>
      <c r="K39" s="529"/>
      <c r="L39" s="78"/>
      <c r="M39" s="78"/>
    </row>
    <row r="40" spans="2:13" x14ac:dyDescent="0.25">
      <c r="F40" s="67"/>
    </row>
    <row r="41" spans="2:13" ht="32.549999999999997" customHeight="1" x14ac:dyDescent="0.25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>
      <formula1>"Formation continue,Contrat d'apprentissage,Contrat de professionnalisation"</formula1>
    </dataValidation>
    <dataValidation type="list" allowBlank="1" showInputMessage="1" showErrorMessage="1" sqref="H4:K4">
      <formula1>"Licence Professionnelle,Licence,Master,Diplôme Universitaire Technologique,Diplôme Universitaire,Formation courte"</formula1>
    </dataValidation>
    <dataValidation type="list" allowBlank="1" showInputMessage="1" showErrorMessage="1" sqref="E34:E38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showGridLines="0" showZeros="0" tabSelected="1" zoomScaleNormal="100" zoomScaleSheetLayoutView="70" workbookViewId="0">
      <pane ySplit="9" topLeftCell="A10" activePane="bottomLeft" state="frozen"/>
      <selection pane="bottomLeft" activeCell="U41" sqref="U41"/>
    </sheetView>
  </sheetViews>
  <sheetFormatPr baseColWidth="10" defaultColWidth="11.44140625" defaultRowHeight="13.2" outlineLevelRow="2" outlineLevelCol="1" x14ac:dyDescent="0.25"/>
  <cols>
    <col min="1" max="1" width="1.33203125" customWidth="1"/>
    <col min="2" max="2" width="5.6640625" customWidth="1"/>
    <col min="3" max="3" width="14.6640625" customWidth="1"/>
    <col min="4" max="4" width="16.4414062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77734375" customWidth="1"/>
    <col min="19" max="19" width="6.77734375" bestFit="1" customWidth="1"/>
    <col min="20" max="20" width="11.33203125" bestFit="1" customWidth="1"/>
    <col min="21" max="21" width="24.44140625" bestFit="1" customWidth="1"/>
  </cols>
  <sheetData>
    <row r="1" spans="1:22" ht="7.2" customHeight="1" thickBot="1" x14ac:dyDescent="0.3">
      <c r="A1" s="70"/>
      <c r="B1" s="70"/>
      <c r="C1" s="70"/>
      <c r="D1" s="70"/>
      <c r="E1" s="70"/>
      <c r="F1" s="70"/>
      <c r="G1" s="70"/>
      <c r="H1" s="107"/>
      <c r="I1" s="108"/>
      <c r="J1" s="109"/>
      <c r="K1" s="107"/>
      <c r="L1" s="107"/>
      <c r="M1" s="107"/>
      <c r="N1" s="107"/>
      <c r="O1" s="107"/>
      <c r="P1" s="107"/>
      <c r="Q1" s="66"/>
      <c r="R1" s="66"/>
      <c r="S1" s="70"/>
      <c r="T1" s="70"/>
      <c r="U1" s="70"/>
      <c r="V1" s="70"/>
    </row>
    <row r="2" spans="1:22" ht="28.2" customHeight="1" thickBot="1" x14ac:dyDescent="0.3">
      <c r="A2" s="70"/>
      <c r="B2" s="492" t="s">
        <v>158</v>
      </c>
      <c r="C2" s="493"/>
      <c r="D2" s="493"/>
      <c r="E2" s="493"/>
      <c r="F2" s="493"/>
      <c r="G2" s="493"/>
      <c r="H2" s="493"/>
      <c r="I2" s="493"/>
      <c r="J2" s="493"/>
      <c r="K2" s="494"/>
      <c r="L2" s="492" t="s">
        <v>159</v>
      </c>
      <c r="M2" s="493"/>
      <c r="N2" s="493"/>
      <c r="O2" s="493"/>
      <c r="P2" s="494"/>
      <c r="Q2" s="66"/>
      <c r="R2" s="66"/>
      <c r="S2" s="70"/>
      <c r="T2" s="70"/>
      <c r="U2" s="70"/>
      <c r="V2" s="70"/>
    </row>
    <row r="3" spans="1:22" ht="6.75" customHeight="1" x14ac:dyDescent="0.25">
      <c r="A3" s="7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66"/>
      <c r="R3" s="66"/>
      <c r="S3" s="70"/>
      <c r="T3" s="70"/>
      <c r="U3" s="70"/>
      <c r="V3" s="70"/>
    </row>
    <row r="4" spans="1:22" ht="5.25" customHeight="1" x14ac:dyDescent="0.25">
      <c r="A4" s="70"/>
      <c r="B4" s="70"/>
      <c r="C4" s="70"/>
      <c r="D4" s="70"/>
      <c r="E4" s="70"/>
      <c r="F4" s="107"/>
      <c r="G4" s="107"/>
      <c r="H4" s="107"/>
      <c r="I4" s="107"/>
      <c r="J4" s="109"/>
      <c r="K4" s="107"/>
      <c r="L4" s="107"/>
      <c r="M4" s="107"/>
      <c r="N4" s="107"/>
      <c r="O4" s="107"/>
      <c r="P4" s="107"/>
      <c r="Q4" s="66"/>
      <c r="R4" s="66"/>
      <c r="S4" s="70"/>
      <c r="T4" s="70"/>
      <c r="U4" s="70"/>
      <c r="V4" s="70"/>
    </row>
    <row r="5" spans="1:22" ht="22.2" customHeight="1" x14ac:dyDescent="0.25">
      <c r="A5" s="70"/>
      <c r="B5" s="70"/>
      <c r="C5" s="111" t="s">
        <v>107</v>
      </c>
      <c r="D5" s="530" t="str">
        <f>'Recettes et simulat'!D4</f>
        <v>Université Lumière Lyon 2</v>
      </c>
      <c r="E5" s="531"/>
      <c r="F5" s="70"/>
      <c r="G5" s="111" t="s">
        <v>109</v>
      </c>
      <c r="H5" s="530" t="str">
        <f>'Recettes et simulat'!H4</f>
        <v>Master</v>
      </c>
      <c r="I5" s="532"/>
      <c r="J5" s="532"/>
      <c r="K5" s="531"/>
      <c r="L5" s="107"/>
      <c r="M5" s="107"/>
      <c r="N5" s="107"/>
      <c r="O5" s="107"/>
      <c r="P5" s="107"/>
      <c r="Q5" s="66"/>
      <c r="R5" s="66"/>
      <c r="S5" s="70"/>
      <c r="T5" s="70"/>
      <c r="U5" s="74" t="s">
        <v>117</v>
      </c>
      <c r="V5" s="70"/>
    </row>
    <row r="6" spans="1:22" ht="22.2" customHeight="1" x14ac:dyDescent="0.25">
      <c r="A6" s="70"/>
      <c r="B6" s="70"/>
      <c r="C6" s="110" t="s">
        <v>111</v>
      </c>
      <c r="D6" s="530">
        <f>'Recettes et simulat'!D5</f>
        <v>34104</v>
      </c>
      <c r="E6" s="531"/>
      <c r="F6" s="70"/>
      <c r="G6" s="111" t="s">
        <v>160</v>
      </c>
      <c r="H6" s="530" t="str">
        <f>'Recettes et simulat'!H5</f>
        <v>Dévelppement de projets artistiques et culturels internationaux (DPACI)</v>
      </c>
      <c r="I6" s="532"/>
      <c r="J6" s="532"/>
      <c r="K6" s="531"/>
      <c r="L6" s="107"/>
      <c r="M6" s="107"/>
      <c r="N6" s="107"/>
      <c r="O6" s="107"/>
      <c r="P6" s="107"/>
      <c r="Q6" s="66"/>
      <c r="R6" s="66"/>
      <c r="S6" s="70"/>
      <c r="T6" s="70"/>
      <c r="U6" s="70"/>
      <c r="V6" s="70"/>
    </row>
    <row r="7" spans="1:22" ht="22.2" customHeight="1" x14ac:dyDescent="0.25">
      <c r="A7" s="70"/>
      <c r="B7" s="70"/>
      <c r="C7" s="112" t="s">
        <v>114</v>
      </c>
      <c r="D7" s="113"/>
      <c r="E7" s="114">
        <f>'Recettes et simulat'!E6</f>
        <v>25</v>
      </c>
      <c r="F7" s="70"/>
      <c r="G7" s="111" t="s">
        <v>115</v>
      </c>
      <c r="H7" s="530" t="str">
        <f>'Recettes et simulat'!H6</f>
        <v>ICOM - Institut de Communication</v>
      </c>
      <c r="I7" s="532"/>
      <c r="J7" s="532"/>
      <c r="K7" s="531"/>
      <c r="L7" s="107"/>
      <c r="M7" s="107"/>
      <c r="N7" s="107"/>
      <c r="O7" s="107"/>
      <c r="P7" s="107"/>
      <c r="Q7" s="66"/>
      <c r="R7" s="66"/>
      <c r="S7" s="70"/>
      <c r="T7" s="70"/>
      <c r="U7" s="70"/>
      <c r="V7" s="70"/>
    </row>
    <row r="8" spans="1:22" ht="22.2" customHeight="1" x14ac:dyDescent="0.25">
      <c r="A8" s="70"/>
      <c r="B8" s="70"/>
      <c r="C8" s="112" t="s">
        <v>118</v>
      </c>
      <c r="D8" s="113"/>
      <c r="E8" s="114">
        <f>'Recettes et simulat'!E7</f>
        <v>7</v>
      </c>
      <c r="F8" s="70"/>
      <c r="G8" s="75" t="s">
        <v>119</v>
      </c>
      <c r="H8" s="70"/>
      <c r="I8" s="70"/>
      <c r="J8" s="115">
        <f>'Recettes et simulat'!J7</f>
        <v>2022</v>
      </c>
      <c r="K8" s="115">
        <f>'Recettes et simulat'!K7</f>
        <v>2023</v>
      </c>
      <c r="L8" s="70"/>
      <c r="M8" s="70"/>
      <c r="N8" s="70"/>
      <c r="O8" s="70"/>
      <c r="P8" s="70"/>
      <c r="Q8" s="66"/>
      <c r="R8" s="66"/>
      <c r="S8" s="70"/>
      <c r="T8" s="70"/>
      <c r="U8" s="70"/>
      <c r="V8" s="70"/>
    </row>
    <row r="9" spans="1:22" ht="22.2" customHeight="1" x14ac:dyDescent="0.25">
      <c r="A9" s="70"/>
      <c r="B9" s="70"/>
      <c r="C9" s="70"/>
      <c r="D9" s="70"/>
      <c r="E9" s="70"/>
      <c r="F9" s="70"/>
      <c r="G9" s="116"/>
      <c r="H9" s="70"/>
      <c r="I9" s="70"/>
      <c r="J9" s="70"/>
      <c r="K9" s="70"/>
      <c r="L9" s="70"/>
      <c r="M9" s="70"/>
      <c r="N9" s="70"/>
      <c r="O9" s="70"/>
      <c r="P9" s="70"/>
      <c r="Q9" s="66"/>
      <c r="R9" s="66"/>
      <c r="S9" s="70"/>
      <c r="T9" s="70"/>
      <c r="U9" s="117"/>
      <c r="V9" s="117"/>
    </row>
    <row r="10" spans="1:22" s="118" customFormat="1" ht="16.95" customHeight="1" thickBot="1" x14ac:dyDescent="0.3">
      <c r="C10" s="119"/>
      <c r="D10" s="119"/>
      <c r="E10" s="119"/>
      <c r="F10" s="119"/>
      <c r="G10" s="120"/>
      <c r="H10" s="120"/>
      <c r="I10" s="121"/>
      <c r="Q10" s="66"/>
      <c r="R10" s="122"/>
      <c r="S10" s="70"/>
      <c r="T10" s="117"/>
      <c r="U10" s="66"/>
      <c r="V10" s="70"/>
    </row>
    <row r="11" spans="1:22" ht="24.45" customHeight="1" thickBot="1" x14ac:dyDescent="0.3">
      <c r="A11" s="70"/>
      <c r="B11" s="492" t="s">
        <v>161</v>
      </c>
      <c r="C11" s="493"/>
      <c r="D11" s="493"/>
      <c r="E11" s="493"/>
      <c r="F11" s="493"/>
      <c r="G11" s="493"/>
      <c r="H11" s="493"/>
      <c r="I11" s="493"/>
      <c r="J11" s="493"/>
      <c r="K11" s="494"/>
      <c r="L11" s="123"/>
      <c r="M11" s="124"/>
      <c r="N11" s="124"/>
      <c r="O11" s="124"/>
      <c r="P11" s="125"/>
      <c r="Q11" s="66"/>
      <c r="R11" s="66"/>
      <c r="S11" s="70"/>
      <c r="T11" s="66"/>
      <c r="U11" s="66"/>
      <c r="V11" s="66"/>
    </row>
    <row r="12" spans="1:22" s="66" customFormat="1" ht="12.45" customHeight="1" thickBot="1" x14ac:dyDescent="0.3">
      <c r="B12" s="126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8"/>
      <c r="V12" s="70"/>
    </row>
    <row r="13" spans="1:22" s="70" customFormat="1" ht="69.599999999999994" thickBot="1" x14ac:dyDescent="0.3">
      <c r="B13" s="129" t="s">
        <v>162</v>
      </c>
      <c r="C13" s="536" t="s">
        <v>163</v>
      </c>
      <c r="D13" s="537"/>
      <c r="E13" s="537"/>
      <c r="F13" s="538"/>
      <c r="G13" s="130" t="s">
        <v>164</v>
      </c>
      <c r="H13" s="131" t="s">
        <v>165</v>
      </c>
      <c r="I13" s="131" t="s">
        <v>166</v>
      </c>
      <c r="J13" s="132" t="s">
        <v>167</v>
      </c>
      <c r="K13" s="133" t="s">
        <v>168</v>
      </c>
      <c r="L13" s="134" t="s">
        <v>169</v>
      </c>
      <c r="M13" s="135" t="s">
        <v>170</v>
      </c>
      <c r="N13" s="135" t="s">
        <v>171</v>
      </c>
      <c r="O13" s="136" t="s">
        <v>172</v>
      </c>
      <c r="P13" s="137" t="s">
        <v>0</v>
      </c>
      <c r="Q13" s="138"/>
      <c r="R13" s="139"/>
      <c r="T13" s="66"/>
      <c r="U13" s="66"/>
      <c r="V13" s="118"/>
    </row>
    <row r="14" spans="1:22" s="118" customFormat="1" ht="21.45" customHeight="1" thickBot="1" x14ac:dyDescent="0.3">
      <c r="B14" s="140" t="s">
        <v>173</v>
      </c>
      <c r="C14" s="141"/>
      <c r="D14" s="142"/>
      <c r="E14" s="142"/>
      <c r="F14" s="142"/>
      <c r="G14" s="143">
        <f>G20+G27+G32</f>
        <v>478</v>
      </c>
      <c r="H14" s="144">
        <f>IF(G20+G27+G32=0,0,(I20+I27+I32)/(G20+G27+G32))</f>
        <v>146.9979079497908</v>
      </c>
      <c r="I14" s="145">
        <f>I20+I32+I27</f>
        <v>70265</v>
      </c>
      <c r="J14" s="146">
        <f>J20+J32+J27</f>
        <v>47744.400000000009</v>
      </c>
      <c r="K14" s="147">
        <f>K20+K32+K27</f>
        <v>22520.6</v>
      </c>
      <c r="L14" s="148">
        <f>L20+L32+L27</f>
        <v>0</v>
      </c>
      <c r="M14" s="144">
        <f>M20+M32+M27</f>
        <v>0</v>
      </c>
      <c r="N14" s="145">
        <f t="shared" ref="N14:O14" si="0">N20+N32+N27</f>
        <v>0</v>
      </c>
      <c r="O14" s="144">
        <f t="shared" si="0"/>
        <v>0</v>
      </c>
      <c r="P14" s="147">
        <f>P20+P32+P27</f>
        <v>0</v>
      </c>
      <c r="Q14" s="149">
        <f>IF($K$72=0,0,K14/$K$72)</f>
        <v>0.50980418788907755</v>
      </c>
      <c r="R14" s="150" t="s">
        <v>174</v>
      </c>
      <c r="S14" s="70"/>
      <c r="T14" s="66"/>
      <c r="U14" s="66"/>
      <c r="V14" s="70"/>
    </row>
    <row r="15" spans="1:22" s="70" customFormat="1" ht="16.95" customHeight="1" outlineLevel="1" x14ac:dyDescent="0.25">
      <c r="B15" s="151" t="s">
        <v>175</v>
      </c>
      <c r="C15" s="152" t="s">
        <v>176</v>
      </c>
      <c r="D15" s="153"/>
      <c r="E15" s="153"/>
      <c r="F15" s="154"/>
      <c r="G15" s="155"/>
      <c r="H15" s="156"/>
      <c r="I15" s="155"/>
      <c r="J15" s="155"/>
      <c r="K15" s="157"/>
      <c r="L15" s="158"/>
      <c r="M15" s="156"/>
      <c r="N15" s="156"/>
      <c r="O15" s="156"/>
      <c r="P15" s="157"/>
      <c r="Q15" s="404"/>
      <c r="R15" s="168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209.5</v>
      </c>
      <c r="S15" s="85"/>
      <c r="T15" s="160"/>
      <c r="U15" s="85"/>
      <c r="V15" s="118"/>
    </row>
    <row r="16" spans="1:22" s="118" customFormat="1" ht="16.95" customHeight="1" outlineLevel="1" x14ac:dyDescent="0.25">
      <c r="B16" s="161" t="s">
        <v>177</v>
      </c>
      <c r="C16" s="533" t="s">
        <v>23</v>
      </c>
      <c r="D16" s="534"/>
      <c r="E16" s="534"/>
      <c r="F16" s="535"/>
      <c r="G16" s="114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180</v>
      </c>
      <c r="H16" s="163">
        <v>218</v>
      </c>
      <c r="I16" s="164">
        <f>H16*G16</f>
        <v>39240</v>
      </c>
      <c r="J16" s="164">
        <f>I16-K16</f>
        <v>28252.800000000003</v>
      </c>
      <c r="K16" s="165">
        <f>IF($E$7=0,0,I16/$E$7*$E$8)</f>
        <v>10987.199999999999</v>
      </c>
      <c r="L16" s="166"/>
      <c r="M16" s="76"/>
      <c r="N16" s="76"/>
      <c r="O16" s="76"/>
      <c r="P16" s="167">
        <f>SUM(L16:O16)</f>
        <v>0</v>
      </c>
      <c r="Q16" s="168">
        <f>IF($I16=0,0,$G16*$J16/$I16)</f>
        <v>129.60000000000002</v>
      </c>
      <c r="R16" s="168"/>
      <c r="S16" s="168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180</v>
      </c>
      <c r="T16" s="168"/>
      <c r="U16" s="168"/>
      <c r="V16" s="169"/>
    </row>
    <row r="17" spans="2:23" s="118" customFormat="1" ht="16.95" customHeight="1" outlineLevel="1" x14ac:dyDescent="0.25">
      <c r="B17" s="161" t="s">
        <v>178</v>
      </c>
      <c r="C17" s="533" t="s">
        <v>24</v>
      </c>
      <c r="D17" s="534"/>
      <c r="E17" s="534"/>
      <c r="F17" s="535"/>
      <c r="G17" s="114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3">
        <v>110</v>
      </c>
      <c r="I17" s="170">
        <f>H17*G17</f>
        <v>0</v>
      </c>
      <c r="J17" s="164">
        <f t="shared" ref="J17:J19" si="1">I17-K17</f>
        <v>0</v>
      </c>
      <c r="K17" s="165">
        <f t="shared" ref="K17:K19" si="2">IF($E$7=0,0,I17/$E$7*$E$8)</f>
        <v>0</v>
      </c>
      <c r="L17" s="166"/>
      <c r="M17" s="76"/>
      <c r="N17" s="76"/>
      <c r="O17" s="76"/>
      <c r="P17" s="171">
        <f>SUM(L17:O17)</f>
        <v>0</v>
      </c>
      <c r="Q17" s="168">
        <f>IF($I17=0,0,$G17*$J17/$I17)</f>
        <v>0</v>
      </c>
      <c r="R17" s="168"/>
      <c r="S17" s="168"/>
    </row>
    <row r="18" spans="2:23" s="118" customFormat="1" ht="16.95" customHeight="1" outlineLevel="1" x14ac:dyDescent="0.25">
      <c r="B18" s="161" t="s">
        <v>179</v>
      </c>
      <c r="C18" s="533" t="s">
        <v>180</v>
      </c>
      <c r="D18" s="534"/>
      <c r="E18" s="534"/>
      <c r="F18" s="535"/>
      <c r="G18" s="114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175</v>
      </c>
      <c r="H18" s="163">
        <v>56</v>
      </c>
      <c r="I18" s="170">
        <f>H18*G18</f>
        <v>9800</v>
      </c>
      <c r="J18" s="164">
        <f t="shared" si="1"/>
        <v>7056</v>
      </c>
      <c r="K18" s="165">
        <f t="shared" si="2"/>
        <v>2744</v>
      </c>
      <c r="L18" s="166"/>
      <c r="M18" s="76"/>
      <c r="N18" s="76"/>
      <c r="O18" s="76"/>
      <c r="P18" s="171">
        <f>SUM(L18:O18)</f>
        <v>0</v>
      </c>
      <c r="Q18" s="168">
        <f>IF($I18=0,0,$G18*$J18/$I18)</f>
        <v>126</v>
      </c>
      <c r="R18" s="168">
        <f>G18</f>
        <v>175</v>
      </c>
      <c r="S18" s="405">
        <f>R18*H18</f>
        <v>9800</v>
      </c>
      <c r="T18" s="168"/>
      <c r="V18" s="169"/>
    </row>
    <row r="19" spans="2:23" s="118" customFormat="1" ht="18.45" customHeight="1" outlineLevel="1" x14ac:dyDescent="0.25">
      <c r="B19" s="161" t="s">
        <v>181</v>
      </c>
      <c r="C19" s="533" t="s">
        <v>182</v>
      </c>
      <c r="D19" s="534"/>
      <c r="E19" s="534"/>
      <c r="F19" s="535"/>
      <c r="G19" s="114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2"/>
      <c r="I19" s="170">
        <f t="shared" ref="I19" si="3">H19*G19</f>
        <v>0</v>
      </c>
      <c r="J19" s="164">
        <f t="shared" si="1"/>
        <v>0</v>
      </c>
      <c r="K19" s="165">
        <f t="shared" si="2"/>
        <v>0</v>
      </c>
      <c r="L19" s="166"/>
      <c r="M19" s="166"/>
      <c r="N19" s="173"/>
      <c r="O19" s="76"/>
      <c r="P19" s="171">
        <f>SUM(L19:O19)</f>
        <v>0</v>
      </c>
      <c r="Q19" s="193">
        <f>IF($I19=0,0,$G19*$J19/$I19)</f>
        <v>0</v>
      </c>
      <c r="R19" s="168"/>
      <c r="S19" s="168"/>
      <c r="T19" s="168"/>
      <c r="U19" s="168"/>
      <c r="V19" s="169"/>
    </row>
    <row r="20" spans="2:23" s="118" customFormat="1" ht="22.2" customHeight="1" outlineLevel="1" thickBot="1" x14ac:dyDescent="0.3">
      <c r="B20" s="539" t="s">
        <v>183</v>
      </c>
      <c r="C20" s="540"/>
      <c r="D20" s="540"/>
      <c r="E20" s="540"/>
      <c r="F20" s="541"/>
      <c r="G20" s="174">
        <f>SUM(G16:G19)</f>
        <v>355</v>
      </c>
      <c r="H20" s="175">
        <f>IF(G20=0,0,I20/G20)</f>
        <v>138.14084507042253</v>
      </c>
      <c r="I20" s="176">
        <f>SUM(I16:I19)</f>
        <v>49040</v>
      </c>
      <c r="J20" s="177">
        <f>SUM(J16:J19)</f>
        <v>35308.800000000003</v>
      </c>
      <c r="K20" s="178">
        <f>SUM(K16:K19)</f>
        <v>13731.199999999999</v>
      </c>
      <c r="L20" s="179">
        <f>SUM(L16:L19)</f>
        <v>0</v>
      </c>
      <c r="M20" s="176">
        <f>SUM(M16:M19)</f>
        <v>0</v>
      </c>
      <c r="N20" s="176">
        <f t="shared" ref="N20:P20" si="4">SUM(N16:N19)</f>
        <v>0</v>
      </c>
      <c r="O20" s="176">
        <f t="shared" si="4"/>
        <v>0</v>
      </c>
      <c r="P20" s="178">
        <f t="shared" si="4"/>
        <v>0</v>
      </c>
      <c r="Q20" s="149">
        <f>IF($K$72=0,0,K20/$K$72)</f>
        <v>0.31083644595359361</v>
      </c>
      <c r="R20" s="150" t="s">
        <v>174</v>
      </c>
      <c r="S20" s="70"/>
      <c r="T20" s="66"/>
      <c r="U20" s="66"/>
      <c r="V20" s="70"/>
    </row>
    <row r="21" spans="2:23" s="70" customFormat="1" ht="16.95" customHeight="1" outlineLevel="1" x14ac:dyDescent="0.25">
      <c r="B21" s="151" t="s">
        <v>184</v>
      </c>
      <c r="C21" s="152" t="s">
        <v>185</v>
      </c>
      <c r="D21" s="153"/>
      <c r="E21" s="153"/>
      <c r="F21" s="154"/>
      <c r="G21" s="155"/>
      <c r="H21" s="156"/>
      <c r="I21" s="155"/>
      <c r="J21" s="155"/>
      <c r="K21" s="157"/>
      <c r="L21" s="158"/>
      <c r="M21" s="156"/>
      <c r="N21" s="156"/>
      <c r="O21" s="156"/>
      <c r="P21" s="157"/>
      <c r="Q21" s="180"/>
      <c r="R21" s="66"/>
      <c r="S21" s="66"/>
      <c r="T21" s="66"/>
      <c r="U21" s="118"/>
      <c r="V21" s="118"/>
    </row>
    <row r="22" spans="2:23" s="118" customFormat="1" ht="16.95" customHeight="1" outlineLevel="1" x14ac:dyDescent="0.25">
      <c r="B22" s="161" t="s">
        <v>186</v>
      </c>
      <c r="C22" s="410" t="s">
        <v>187</v>
      </c>
      <c r="D22" s="412"/>
      <c r="E22" s="412"/>
      <c r="F22" s="413"/>
      <c r="G22" s="162">
        <f>SUMIF(Enseignements!$G$8:$G$89,Paramétrage!D15,Enseignements!Y$8:Y$89)</f>
        <v>20</v>
      </c>
      <c r="H22" s="163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137</v>
      </c>
      <c r="I22" s="164">
        <f>H22*G22</f>
        <v>2740</v>
      </c>
      <c r="J22" s="170">
        <f>I22-K22</f>
        <v>1972.8000000000002</v>
      </c>
      <c r="K22" s="165">
        <f t="shared" ref="K22" si="5">IF($E$7=0,0,I22/$E$7*$E$8)</f>
        <v>767.19999999999993</v>
      </c>
      <c r="L22" s="166"/>
      <c r="M22" s="173"/>
      <c r="N22" s="173"/>
      <c r="O22" s="76"/>
      <c r="P22" s="167">
        <f>SUM(L22:O22)</f>
        <v>0</v>
      </c>
      <c r="Q22" s="168"/>
      <c r="R22" s="168">
        <f>SUMIF(Enseignements!$G$8:$G$89,Paramétrage!D15,Enseignements!W$8:W$89)</f>
        <v>10</v>
      </c>
      <c r="S22" s="405">
        <f>R22*H22</f>
        <v>1370</v>
      </c>
      <c r="T22" s="193"/>
      <c r="V22" s="168"/>
      <c r="W22" s="85"/>
    </row>
    <row r="23" spans="2:23" s="118" customFormat="1" ht="16.95" customHeight="1" outlineLevel="1" x14ac:dyDescent="0.25">
      <c r="B23" s="161" t="s">
        <v>188</v>
      </c>
      <c r="C23" s="533" t="s">
        <v>189</v>
      </c>
      <c r="D23" s="534"/>
      <c r="E23" s="534"/>
      <c r="F23" s="535"/>
      <c r="G23" s="162">
        <f>SUMIF(Enseignements!$G$8:$G$89,Paramétrage!$D$18,Enseignements!Y$8:Y$89)</f>
        <v>25</v>
      </c>
      <c r="H23" s="163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137</v>
      </c>
      <c r="I23" s="164">
        <f>H23*G23</f>
        <v>3425</v>
      </c>
      <c r="J23" s="164">
        <f>I23-K23</f>
        <v>2466</v>
      </c>
      <c r="K23" s="165">
        <f>IF($E$7=0,0,I23/$E$7*$E$8)</f>
        <v>959</v>
      </c>
      <c r="L23" s="76"/>
      <c r="M23" s="76"/>
      <c r="N23" s="76"/>
      <c r="O23" s="76"/>
      <c r="P23" s="171">
        <f>SUM(L23:O23)</f>
        <v>0</v>
      </c>
      <c r="Q23" s="168">
        <f>IF($I23=0,0,$G23*$J23/$I23)</f>
        <v>18</v>
      </c>
      <c r="R23" s="168">
        <f>SUMIF(Enseignements!$G$8:$G$89,Paramétrage!D16,Enseignements!W$8:W$89)</f>
        <v>18</v>
      </c>
      <c r="S23" s="405">
        <f t="shared" ref="S23:S25" si="6">R23*H23</f>
        <v>2466</v>
      </c>
      <c r="T23" s="168"/>
      <c r="V23" s="168"/>
      <c r="W23" s="85"/>
    </row>
    <row r="24" spans="2:23" s="118" customFormat="1" ht="16.95" customHeight="1" outlineLevel="1" x14ac:dyDescent="0.25">
      <c r="B24" s="161" t="s">
        <v>190</v>
      </c>
      <c r="C24" s="533" t="s">
        <v>191</v>
      </c>
      <c r="D24" s="534"/>
      <c r="E24" s="534"/>
      <c r="F24" s="535"/>
      <c r="G24" s="162">
        <f>SUMIF(Enseignements!$G$8:$G$89,Paramétrage!$D$9,Enseignements!Y$8:Y$89)</f>
        <v>24</v>
      </c>
      <c r="H24" s="163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137</v>
      </c>
      <c r="I24" s="164">
        <f>H24*G24</f>
        <v>3288</v>
      </c>
      <c r="J24" s="170">
        <f>I24</f>
        <v>3288</v>
      </c>
      <c r="K24" s="165">
        <v>0</v>
      </c>
      <c r="L24" s="166"/>
      <c r="M24" s="76"/>
      <c r="N24" s="76"/>
      <c r="O24" s="76"/>
      <c r="P24" s="171">
        <f>SUM(L24:O24)</f>
        <v>0</v>
      </c>
      <c r="Q24" s="168">
        <f>IF($I24=0,0,$G24*$J24/$I24)</f>
        <v>24</v>
      </c>
      <c r="R24" s="168">
        <f>SUMIF(Enseignements!$G$8:$G$89,Paramétrage!D17,Enseignements!W$8:W$89)</f>
        <v>0</v>
      </c>
      <c r="S24" s="405">
        <f t="shared" si="6"/>
        <v>0</v>
      </c>
      <c r="T24" s="168"/>
      <c r="V24" s="168"/>
      <c r="W24" s="85"/>
    </row>
    <row r="25" spans="2:23" s="118" customFormat="1" ht="16.95" customHeight="1" outlineLevel="1" x14ac:dyDescent="0.25">
      <c r="B25" s="161" t="s">
        <v>192</v>
      </c>
      <c r="C25" s="533" t="s">
        <v>193</v>
      </c>
      <c r="D25" s="534"/>
      <c r="E25" s="534"/>
      <c r="F25" s="535"/>
      <c r="G25" s="162">
        <f>SUMIF(Enseignements!$G$8:$G$89,Paramétrage!$D$12,Enseignements!Y$8:Y$89)</f>
        <v>24</v>
      </c>
      <c r="H25" s="163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218</v>
      </c>
      <c r="I25" s="164">
        <f>H25*G25</f>
        <v>5232</v>
      </c>
      <c r="J25" s="164">
        <f>I25-K25</f>
        <v>0</v>
      </c>
      <c r="K25" s="165">
        <f>I25</f>
        <v>5232</v>
      </c>
      <c r="L25" s="166"/>
      <c r="M25" s="173"/>
      <c r="N25" s="173"/>
      <c r="O25" s="76"/>
      <c r="P25" s="171">
        <f>SUM(L25:O25)</f>
        <v>0</v>
      </c>
      <c r="Q25" s="168">
        <f>IF($I25=0,0,$G25*$J25/$I25)</f>
        <v>0</v>
      </c>
      <c r="R25" s="168">
        <f>SUMIF(Enseignements!$G$8:$G$89,Paramétrage!D18,Enseignements!W$8:W$89)</f>
        <v>12.5</v>
      </c>
      <c r="S25" s="405">
        <f t="shared" si="6"/>
        <v>2725</v>
      </c>
      <c r="T25" s="168"/>
      <c r="V25" s="168"/>
      <c r="W25" s="85"/>
    </row>
    <row r="26" spans="2:23" s="118" customFormat="1" ht="16.95" customHeight="1" outlineLevel="1" x14ac:dyDescent="0.25">
      <c r="B26" s="161" t="s">
        <v>194</v>
      </c>
      <c r="C26" s="533" t="s">
        <v>195</v>
      </c>
      <c r="D26" s="534"/>
      <c r="E26" s="534"/>
      <c r="F26" s="535"/>
      <c r="G26" s="162">
        <f>SUMIF(Enseignements!$G$8:$G$89,Paramétrage!$D$22,Enseignements!Y$8:Y$89)+SUMIF(Enseignements!$G$8:$G$89,Paramétrage!$D$25,Enseignements!Y$8:Y$89)</f>
        <v>0</v>
      </c>
      <c r="H26" s="163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4">
        <f>H26*G26</f>
        <v>0</v>
      </c>
      <c r="J26" s="164">
        <f>I26-K26</f>
        <v>0</v>
      </c>
      <c r="K26" s="165">
        <f t="shared" ref="K26" si="7">IF($E$7=0,0,I26/$E$7*$E$8)</f>
        <v>0</v>
      </c>
      <c r="L26" s="76"/>
      <c r="M26" s="76"/>
      <c r="N26" s="76"/>
      <c r="O26" s="76"/>
      <c r="P26" s="171">
        <f>SUM(L26:O26)</f>
        <v>0</v>
      </c>
      <c r="Q26" s="168">
        <f>IF($I26=0,0,$G26*$J26/$I26)</f>
        <v>0</v>
      </c>
      <c r="R26" s="168">
        <f>SUMIF(Enseignements!$G$8:$G$89,Paramétrage!D19,Enseignements!W$8:W$89)</f>
        <v>0</v>
      </c>
      <c r="S26" s="405">
        <f>R26*H26</f>
        <v>0</v>
      </c>
      <c r="T26" s="168"/>
      <c r="V26" s="168"/>
      <c r="W26" s="85"/>
    </row>
    <row r="27" spans="2:23" s="118" customFormat="1" ht="21.45" customHeight="1" outlineLevel="1" thickBot="1" x14ac:dyDescent="0.3">
      <c r="B27" s="539" t="s">
        <v>196</v>
      </c>
      <c r="C27" s="540"/>
      <c r="D27" s="540"/>
      <c r="E27" s="540"/>
      <c r="F27" s="541"/>
      <c r="G27" s="174">
        <f>SUM(G22:G26)</f>
        <v>93</v>
      </c>
      <c r="H27" s="175">
        <f>IF(G27=0,0,I27/G27)</f>
        <v>157.90322580645162</v>
      </c>
      <c r="I27" s="175">
        <f>SUM(I22:I26)</f>
        <v>14685</v>
      </c>
      <c r="J27" s="175">
        <f t="shared" ref="J27:K27" si="8">SUM(J22:J26)</f>
        <v>7726.8</v>
      </c>
      <c r="K27" s="178">
        <f t="shared" si="8"/>
        <v>6958.2</v>
      </c>
      <c r="L27" s="181">
        <f>SUM(L22:L26)</f>
        <v>0</v>
      </c>
      <c r="M27" s="182">
        <f>SUM(M22:M26)</f>
        <v>0</v>
      </c>
      <c r="N27" s="183">
        <f t="shared" ref="N27:O27" si="9">SUM(N22:N26)</f>
        <v>0</v>
      </c>
      <c r="O27" s="176">
        <f t="shared" si="9"/>
        <v>0</v>
      </c>
      <c r="P27" s="178">
        <f t="shared" ref="P27" si="10">SUM(P22:P25)</f>
        <v>0</v>
      </c>
      <c r="Q27" s="149">
        <f>IF($K$72=0,0,K27/$K$72)</f>
        <v>0.1575144312393888</v>
      </c>
      <c r="R27" s="150" t="s">
        <v>174</v>
      </c>
      <c r="S27" s="70"/>
      <c r="T27" s="117"/>
    </row>
    <row r="28" spans="2:23" s="118" customFormat="1" ht="16.95" customHeight="1" outlineLevel="1" x14ac:dyDescent="0.25">
      <c r="B28" s="151" t="s">
        <v>197</v>
      </c>
      <c r="C28" s="152" t="s">
        <v>198</v>
      </c>
      <c r="D28" s="153"/>
      <c r="E28" s="153"/>
      <c r="F28" s="154"/>
      <c r="G28" s="155"/>
      <c r="H28" s="156"/>
      <c r="I28" s="155"/>
      <c r="J28" s="155"/>
      <c r="K28" s="157"/>
      <c r="L28" s="190"/>
      <c r="M28" s="191"/>
      <c r="N28" s="191"/>
      <c r="O28" s="191"/>
      <c r="P28" s="192"/>
      <c r="Q28" s="159"/>
      <c r="R28" s="193">
        <f t="shared" ref="R28:U28" si="11">IF($I28=0,0,IF($P28=0,0,$G28*$J28/$I28*L28/$P28))</f>
        <v>0</v>
      </c>
      <c r="S28" s="193">
        <f t="shared" si="11"/>
        <v>0</v>
      </c>
      <c r="T28" s="193">
        <f t="shared" si="11"/>
        <v>0</v>
      </c>
      <c r="U28" s="194">
        <f t="shared" si="11"/>
        <v>0</v>
      </c>
      <c r="V28" s="195"/>
    </row>
    <row r="29" spans="2:23" s="118" customFormat="1" ht="16.95" customHeight="1" outlineLevel="1" x14ac:dyDescent="0.25">
      <c r="B29" s="161" t="s">
        <v>199</v>
      </c>
      <c r="C29" s="533" t="s">
        <v>200</v>
      </c>
      <c r="D29" s="534"/>
      <c r="E29" s="534"/>
      <c r="F29" s="535"/>
      <c r="G29" s="76">
        <v>30</v>
      </c>
      <c r="H29" s="163">
        <f>+H16</f>
        <v>218</v>
      </c>
      <c r="I29" s="196">
        <f>H29*G29</f>
        <v>6540</v>
      </c>
      <c r="J29" s="164">
        <f t="shared" ref="J29:J31" si="12">I29-K29</f>
        <v>4708.7999999999993</v>
      </c>
      <c r="K29" s="165">
        <f t="shared" ref="K29:K31" si="13">IF($E$7=0,0,I29/$E$7*$E$8)</f>
        <v>1831.2000000000003</v>
      </c>
      <c r="L29" s="197"/>
      <c r="M29" s="76"/>
      <c r="N29" s="76"/>
      <c r="O29" s="76"/>
      <c r="P29" s="171">
        <f>SUM(L29:O29)</f>
        <v>0</v>
      </c>
      <c r="Q29" s="168">
        <f>IF($I29=0,0,$G29*$J29/$I29)</f>
        <v>21.599999999999994</v>
      </c>
      <c r="R29" s="168"/>
      <c r="S29" s="168"/>
      <c r="T29" s="168"/>
      <c r="U29" s="168"/>
      <c r="V29" s="169"/>
      <c r="W29" s="198"/>
    </row>
    <row r="30" spans="2:23" s="118" customFormat="1" ht="16.95" customHeight="1" outlineLevel="1" x14ac:dyDescent="0.25">
      <c r="B30" s="161" t="s">
        <v>201</v>
      </c>
      <c r="C30" s="533" t="s">
        <v>202</v>
      </c>
      <c r="D30" s="534"/>
      <c r="E30" s="534"/>
      <c r="F30" s="535"/>
      <c r="G30" s="76"/>
      <c r="H30" s="163">
        <f>$H$20</f>
        <v>138.14084507042253</v>
      </c>
      <c r="I30" s="196">
        <f>H30*G30</f>
        <v>0</v>
      </c>
      <c r="J30" s="164">
        <f t="shared" si="12"/>
        <v>0</v>
      </c>
      <c r="K30" s="165">
        <f>I30</f>
        <v>0</v>
      </c>
      <c r="L30" s="197"/>
      <c r="M30" s="166"/>
      <c r="N30" s="76"/>
      <c r="O30" s="76"/>
      <c r="P30" s="171">
        <f>SUM(L30:O30)</f>
        <v>0</v>
      </c>
      <c r="Q30" s="168">
        <f t="shared" ref="Q30:Q31" si="14">IF($I30=0,0,$G30*$J30/$I30)</f>
        <v>0</v>
      </c>
      <c r="R30" s="168"/>
      <c r="S30" s="168"/>
      <c r="T30" s="168"/>
      <c r="U30" s="168"/>
      <c r="V30" s="169"/>
      <c r="W30" s="198"/>
    </row>
    <row r="31" spans="2:23" s="118" customFormat="1" ht="16.95" customHeight="1" outlineLevel="1" x14ac:dyDescent="0.25">
      <c r="B31" s="161" t="s">
        <v>203</v>
      </c>
      <c r="C31" s="411" t="s">
        <v>26</v>
      </c>
      <c r="D31" s="412"/>
      <c r="E31" s="412"/>
      <c r="F31" s="413"/>
      <c r="G31" s="199"/>
      <c r="H31" s="163">
        <f>$H$20</f>
        <v>138.14084507042253</v>
      </c>
      <c r="I31" s="200">
        <f>H31*G31</f>
        <v>0</v>
      </c>
      <c r="J31" s="164">
        <f t="shared" si="12"/>
        <v>0</v>
      </c>
      <c r="K31" s="165">
        <f t="shared" si="13"/>
        <v>0</v>
      </c>
      <c r="L31" s="201"/>
      <c r="M31" s="76"/>
      <c r="N31" s="76"/>
      <c r="O31" s="76"/>
      <c r="P31" s="171">
        <f>SUM(L31:O31)</f>
        <v>0</v>
      </c>
      <c r="Q31" s="168">
        <f t="shared" si="14"/>
        <v>0</v>
      </c>
      <c r="R31" s="168"/>
      <c r="S31" s="168"/>
      <c r="T31" s="168"/>
      <c r="U31" s="168"/>
      <c r="V31" s="169"/>
      <c r="W31" s="198"/>
    </row>
    <row r="32" spans="2:23" s="118" customFormat="1" ht="21" customHeight="1" outlineLevel="1" thickBot="1" x14ac:dyDescent="0.3">
      <c r="B32" s="539" t="s">
        <v>204</v>
      </c>
      <c r="C32" s="540"/>
      <c r="D32" s="540"/>
      <c r="E32" s="540"/>
      <c r="F32" s="541"/>
      <c r="G32" s="174">
        <f>SUM(G29:G31)</f>
        <v>30</v>
      </c>
      <c r="H32" s="175">
        <f>IF(G32=0,0,I32/G32)</f>
        <v>218</v>
      </c>
      <c r="I32" s="175">
        <f>SUM(I29:I31)</f>
        <v>6540</v>
      </c>
      <c r="J32" s="175">
        <f>SUM(J29:J31)</f>
        <v>4708.7999999999993</v>
      </c>
      <c r="K32" s="383">
        <f>SUM(K29:K31)</f>
        <v>1831.2000000000003</v>
      </c>
      <c r="L32" s="179">
        <f t="shared" ref="L32:M32" si="15">SUM(L29:L31)</f>
        <v>0</v>
      </c>
      <c r="M32" s="176">
        <f t="shared" si="15"/>
        <v>0</v>
      </c>
      <c r="N32" s="176">
        <f>SUM(N29:N31)</f>
        <v>0</v>
      </c>
      <c r="O32" s="176">
        <f>SUM(O29:O31)</f>
        <v>0</v>
      </c>
      <c r="P32" s="178">
        <f t="shared" ref="P32" si="16">SUM(P28:P31)</f>
        <v>0</v>
      </c>
      <c r="Q32" s="149">
        <f>IF($K$72=0,0,K32/$K$72)</f>
        <v>4.1453310696095085E-2</v>
      </c>
      <c r="R32" s="150" t="s">
        <v>174</v>
      </c>
      <c r="S32" s="70"/>
      <c r="T32" s="117"/>
      <c r="U32" s="67"/>
    </row>
    <row r="33" spans="2:22" s="118" customFormat="1" ht="21" hidden="1" customHeight="1" outlineLevel="1" x14ac:dyDescent="0.25">
      <c r="B33" s="205"/>
      <c r="C33" s="206"/>
      <c r="D33" s="207"/>
      <c r="E33" s="208"/>
      <c r="F33" s="208"/>
      <c r="G33" s="208"/>
      <c r="H33" s="209" t="s">
        <v>205</v>
      </c>
      <c r="I33" s="210">
        <f>+G20+G27+G32</f>
        <v>478</v>
      </c>
      <c r="J33" s="210">
        <f>SUM(Q16:Q19)+SUM(Q22:Q26)+SUM(Q29:Q31)</f>
        <v>319.20000000000005</v>
      </c>
      <c r="K33" s="211">
        <f>I33-J33</f>
        <v>158.79999999999995</v>
      </c>
      <c r="L33" s="212"/>
      <c r="M33" s="212"/>
      <c r="N33" s="212"/>
      <c r="O33" s="212"/>
      <c r="P33" s="212"/>
      <c r="Q33" s="213"/>
      <c r="R33" s="213"/>
      <c r="S33" s="214"/>
      <c r="T33" s="215"/>
      <c r="U33" s="117"/>
      <c r="V33" s="216"/>
    </row>
    <row r="34" spans="2:22" s="118" customFormat="1" ht="21" customHeight="1" outlineLevel="1" thickBot="1" x14ac:dyDescent="0.3">
      <c r="B34" s="217"/>
      <c r="C34" s="218"/>
      <c r="D34" s="219"/>
      <c r="E34" s="220"/>
      <c r="F34" s="220"/>
      <c r="G34" s="220"/>
      <c r="H34" s="221" t="s">
        <v>206</v>
      </c>
      <c r="I34" s="222">
        <f>IF($E$7=0,0,(I32+I20+I27)/$E$7)</f>
        <v>2810.6</v>
      </c>
      <c r="J34" s="223">
        <f>IF($E$7-$E$8=0,0,(J32+J20+J27)/($E$7-$E$8))</f>
        <v>2652.4666666666672</v>
      </c>
      <c r="K34" s="224">
        <f>IF($E$8=0,0,(K32+K20+K27)/$E$8)</f>
        <v>3217.2285714285713</v>
      </c>
      <c r="L34" s="212"/>
      <c r="M34" s="212"/>
      <c r="N34" s="212"/>
      <c r="O34" s="212"/>
      <c r="P34" s="212"/>
      <c r="Q34" s="213"/>
      <c r="R34" s="213"/>
      <c r="S34" s="214"/>
      <c r="T34" s="215"/>
      <c r="U34" s="117"/>
      <c r="V34" s="216"/>
    </row>
    <row r="35" spans="2:22" s="70" customFormat="1" ht="22.2" customHeight="1" thickBot="1" x14ac:dyDescent="0.3">
      <c r="B35" s="225" t="s">
        <v>207</v>
      </c>
      <c r="C35" s="226"/>
      <c r="D35" s="227"/>
      <c r="E35" s="227"/>
      <c r="F35" s="227"/>
      <c r="G35" s="227"/>
      <c r="H35" s="228"/>
      <c r="I35" s="229">
        <f t="shared" ref="I35:P35" si="17">SUM(I36:I44)</f>
        <v>5800</v>
      </c>
      <c r="J35" s="230">
        <f t="shared" si="17"/>
        <v>3096</v>
      </c>
      <c r="K35" s="231">
        <f t="shared" si="17"/>
        <v>2704</v>
      </c>
      <c r="L35" s="148">
        <f t="shared" si="17"/>
        <v>0</v>
      </c>
      <c r="M35" s="144">
        <f t="shared" si="17"/>
        <v>0</v>
      </c>
      <c r="N35" s="145">
        <f t="shared" si="17"/>
        <v>0</v>
      </c>
      <c r="O35" s="144">
        <f t="shared" si="17"/>
        <v>0</v>
      </c>
      <c r="P35" s="232">
        <f t="shared" si="17"/>
        <v>0</v>
      </c>
      <c r="Q35" s="149">
        <f>IF($K$72=0,0,K35/$K$72)</f>
        <v>6.1211092246745896E-2</v>
      </c>
      <c r="R35" s="150" t="s">
        <v>174</v>
      </c>
      <c r="U35" s="118"/>
      <c r="V35" s="118"/>
    </row>
    <row r="36" spans="2:22" s="118" customFormat="1" ht="16.95" customHeight="1" outlineLevel="1" x14ac:dyDescent="0.25">
      <c r="B36" s="233" t="s">
        <v>208</v>
      </c>
      <c r="C36" s="234" t="s">
        <v>209</v>
      </c>
      <c r="D36" s="235"/>
      <c r="E36" s="235"/>
      <c r="F36" s="235"/>
      <c r="G36" s="235"/>
      <c r="H36" s="235"/>
      <c r="I36" s="236"/>
      <c r="J36" s="237">
        <f>I36-K36</f>
        <v>0</v>
      </c>
      <c r="K36" s="238">
        <f>IF($E$7=0,0,I36/$E$7*$E$8)</f>
        <v>0</v>
      </c>
      <c r="L36" s="239"/>
      <c r="M36" s="240"/>
      <c r="N36" s="241"/>
      <c r="O36" s="240"/>
      <c r="P36" s="242">
        <f>SUM(L36:O36)</f>
        <v>0</v>
      </c>
      <c r="Q36" s="243"/>
      <c r="R36" s="244"/>
      <c r="S36" s="70"/>
    </row>
    <row r="37" spans="2:22" s="118" customFormat="1" ht="16.95" customHeight="1" outlineLevel="1" x14ac:dyDescent="0.25">
      <c r="B37" s="94" t="s">
        <v>210</v>
      </c>
      <c r="C37" s="245" t="s">
        <v>211</v>
      </c>
      <c r="D37" s="246"/>
      <c r="E37" s="246"/>
      <c r="F37" s="246"/>
      <c r="G37" s="246"/>
      <c r="H37" s="246"/>
      <c r="I37" s="247"/>
      <c r="J37" s="163">
        <f>I37-K37</f>
        <v>0</v>
      </c>
      <c r="K37" s="248">
        <f t="shared" ref="K37:K44" si="18">IF($E$7=0,0,I37/$E$7*$E$8)</f>
        <v>0</v>
      </c>
      <c r="L37" s="197"/>
      <c r="M37" s="166"/>
      <c r="N37" s="249"/>
      <c r="O37" s="166"/>
      <c r="P37" s="171">
        <f>SUM(L37:O37)</f>
        <v>0</v>
      </c>
      <c r="Q37" s="243"/>
      <c r="R37" s="244"/>
      <c r="S37" s="70"/>
    </row>
    <row r="38" spans="2:22" s="118" customFormat="1" ht="16.95" customHeight="1" outlineLevel="1" x14ac:dyDescent="0.25">
      <c r="B38" s="94" t="s">
        <v>212</v>
      </c>
      <c r="C38" s="245" t="s">
        <v>213</v>
      </c>
      <c r="D38" s="246"/>
      <c r="E38" s="246"/>
      <c r="F38" s="246"/>
      <c r="G38" s="246"/>
      <c r="H38" s="246"/>
      <c r="I38" s="247">
        <v>2000</v>
      </c>
      <c r="J38" s="163">
        <f>I38-K38</f>
        <v>1440</v>
      </c>
      <c r="K38" s="248">
        <f t="shared" si="18"/>
        <v>560</v>
      </c>
      <c r="L38" s="197"/>
      <c r="M38" s="166"/>
      <c r="N38" s="249"/>
      <c r="O38" s="166"/>
      <c r="P38" s="171">
        <f t="shared" ref="P38:P44" si="19">SUM(L38:O38)</f>
        <v>0</v>
      </c>
      <c r="Q38" s="243"/>
      <c r="R38" s="244"/>
      <c r="S38" s="70"/>
    </row>
    <row r="39" spans="2:22" s="118" customFormat="1" ht="16.95" customHeight="1" outlineLevel="1" x14ac:dyDescent="0.25">
      <c r="B39" s="94" t="s">
        <v>214</v>
      </c>
      <c r="C39" s="245" t="s">
        <v>215</v>
      </c>
      <c r="D39" s="246"/>
      <c r="E39" s="246"/>
      <c r="F39" s="246"/>
      <c r="G39" s="246"/>
      <c r="H39" s="246"/>
      <c r="I39" s="247">
        <v>800</v>
      </c>
      <c r="J39" s="163">
        <f>I39-K39</f>
        <v>576</v>
      </c>
      <c r="K39" s="248">
        <f t="shared" si="18"/>
        <v>224</v>
      </c>
      <c r="L39" s="197"/>
      <c r="M39" s="166"/>
      <c r="N39" s="249"/>
      <c r="O39" s="166"/>
      <c r="P39" s="171">
        <f t="shared" si="19"/>
        <v>0</v>
      </c>
      <c r="Q39" s="243"/>
      <c r="R39" s="244"/>
      <c r="S39" s="70"/>
    </row>
    <row r="40" spans="2:22" s="118" customFormat="1" ht="16.95" customHeight="1" outlineLevel="1" x14ac:dyDescent="0.25">
      <c r="B40" s="94" t="s">
        <v>216</v>
      </c>
      <c r="C40" s="245" t="s">
        <v>217</v>
      </c>
      <c r="D40" s="246"/>
      <c r="E40" s="246"/>
      <c r="F40" s="246"/>
      <c r="G40" s="246"/>
      <c r="H40" s="246"/>
      <c r="I40" s="247">
        <v>1500</v>
      </c>
      <c r="J40" s="163">
        <f>I40-K40</f>
        <v>1080</v>
      </c>
      <c r="K40" s="248">
        <f t="shared" si="18"/>
        <v>420</v>
      </c>
      <c r="L40" s="197"/>
      <c r="M40" s="166"/>
      <c r="N40" s="249"/>
      <c r="O40" s="166"/>
      <c r="P40" s="171">
        <f>SUM(L40:O40)</f>
        <v>0</v>
      </c>
      <c r="Q40" s="243"/>
      <c r="R40" s="244"/>
      <c r="S40" s="70"/>
    </row>
    <row r="41" spans="2:22" s="118" customFormat="1" ht="16.95" customHeight="1" outlineLevel="1" x14ac:dyDescent="0.25">
      <c r="B41" s="94" t="s">
        <v>218</v>
      </c>
      <c r="C41" s="245" t="s">
        <v>219</v>
      </c>
      <c r="D41" s="246"/>
      <c r="E41" s="246"/>
      <c r="F41" s="246"/>
      <c r="G41" s="246"/>
      <c r="H41" s="246"/>
      <c r="I41" s="247"/>
      <c r="J41" s="163">
        <f t="shared" ref="J41:J44" si="20">I41-K41</f>
        <v>0</v>
      </c>
      <c r="K41" s="248">
        <v>0</v>
      </c>
      <c r="L41" s="197"/>
      <c r="M41" s="166"/>
      <c r="N41" s="249"/>
      <c r="O41" s="166"/>
      <c r="P41" s="171">
        <f>SUM(L41:O41)</f>
        <v>0</v>
      </c>
      <c r="Q41" s="243"/>
      <c r="R41" s="244"/>
      <c r="S41" s="70"/>
    </row>
    <row r="42" spans="2:22" s="118" customFormat="1" ht="16.95" customHeight="1" outlineLevel="1" x14ac:dyDescent="0.25">
      <c r="B42" s="94" t="s">
        <v>220</v>
      </c>
      <c r="C42" s="245" t="s">
        <v>221</v>
      </c>
      <c r="D42" s="246"/>
      <c r="E42" s="246"/>
      <c r="F42" s="246"/>
      <c r="G42" s="246"/>
      <c r="H42" s="246"/>
      <c r="I42" s="247">
        <v>1500</v>
      </c>
      <c r="J42" s="163">
        <f t="shared" si="20"/>
        <v>0</v>
      </c>
      <c r="K42" s="248">
        <f>I42</f>
        <v>1500</v>
      </c>
      <c r="L42" s="197"/>
      <c r="M42" s="166"/>
      <c r="N42" s="249"/>
      <c r="O42" s="166"/>
      <c r="P42" s="171">
        <f t="shared" si="19"/>
        <v>0</v>
      </c>
      <c r="Q42" s="243"/>
      <c r="R42" s="244"/>
      <c r="S42" s="70"/>
    </row>
    <row r="43" spans="2:22" s="118" customFormat="1" ht="16.95" customHeight="1" outlineLevel="1" x14ac:dyDescent="0.25">
      <c r="B43" s="94" t="s">
        <v>222</v>
      </c>
      <c r="C43" s="245" t="s">
        <v>223</v>
      </c>
      <c r="D43" s="246"/>
      <c r="E43" s="246"/>
      <c r="F43" s="246"/>
      <c r="G43" s="246"/>
      <c r="H43" s="246"/>
      <c r="I43" s="247"/>
      <c r="J43" s="163">
        <f t="shared" si="20"/>
        <v>0</v>
      </c>
      <c r="K43" s="248">
        <f t="shared" si="18"/>
        <v>0</v>
      </c>
      <c r="L43" s="197"/>
      <c r="M43" s="166"/>
      <c r="N43" s="249"/>
      <c r="O43" s="166"/>
      <c r="P43" s="171">
        <f t="shared" si="19"/>
        <v>0</v>
      </c>
      <c r="Q43" s="243"/>
      <c r="R43" s="244"/>
      <c r="S43" s="70"/>
    </row>
    <row r="44" spans="2:22" s="118" customFormat="1" ht="16.95" customHeight="1" outlineLevel="1" thickBot="1" x14ac:dyDescent="0.3">
      <c r="B44" s="250" t="s">
        <v>224</v>
      </c>
      <c r="C44" s="251" t="s">
        <v>225</v>
      </c>
      <c r="D44" s="252"/>
      <c r="E44" s="252"/>
      <c r="F44" s="252"/>
      <c r="G44" s="252"/>
      <c r="H44" s="253"/>
      <c r="I44" s="254"/>
      <c r="J44" s="255">
        <f t="shared" si="20"/>
        <v>0</v>
      </c>
      <c r="K44" s="256">
        <f t="shared" si="18"/>
        <v>0</v>
      </c>
      <c r="L44" s="257"/>
      <c r="M44" s="258"/>
      <c r="N44" s="259"/>
      <c r="O44" s="258"/>
      <c r="P44" s="260">
        <f t="shared" si="19"/>
        <v>0</v>
      </c>
      <c r="Q44" s="243"/>
      <c r="R44" s="244"/>
      <c r="S44" s="70"/>
    </row>
    <row r="45" spans="2:22" s="118" customFormat="1" ht="24.45" customHeight="1" outlineLevel="1" thickBot="1" x14ac:dyDescent="0.3">
      <c r="B45" s="261"/>
      <c r="C45" s="262"/>
      <c r="E45" s="263"/>
      <c r="F45" s="263"/>
      <c r="G45" s="263"/>
      <c r="H45" s="71" t="s">
        <v>226</v>
      </c>
      <c r="I45" s="264">
        <f>IF(E7=0,0,I35/$E$7)</f>
        <v>232</v>
      </c>
      <c r="J45" s="264">
        <f>IF(E7-E8=0,0,J35/($E$7-$E$8))</f>
        <v>172</v>
      </c>
      <c r="K45" s="224">
        <f>IF($E$8=0,0,K35/$E$8)</f>
        <v>386.28571428571428</v>
      </c>
      <c r="L45" s="212"/>
      <c r="M45" s="212"/>
      <c r="N45" s="212"/>
      <c r="O45" s="212"/>
      <c r="P45" s="212"/>
      <c r="Q45" s="243"/>
      <c r="R45" s="244"/>
      <c r="S45" s="70"/>
      <c r="U45" s="70"/>
      <c r="V45" s="70"/>
    </row>
    <row r="46" spans="2:22" s="70" customFormat="1" ht="21.45" customHeight="1" thickBot="1" x14ac:dyDescent="0.3">
      <c r="B46" s="140" t="s">
        <v>227</v>
      </c>
      <c r="C46" s="141"/>
      <c r="D46" s="142"/>
      <c r="E46" s="142"/>
      <c r="F46" s="142"/>
      <c r="G46" s="142"/>
      <c r="H46" s="265"/>
      <c r="I46" s="266">
        <f t="shared" ref="I46:P46" si="21">I35+I32+I20+I27</f>
        <v>76065</v>
      </c>
      <c r="J46" s="266">
        <f t="shared" si="21"/>
        <v>50840.400000000009</v>
      </c>
      <c r="K46" s="267">
        <f t="shared" si="21"/>
        <v>25224.600000000002</v>
      </c>
      <c r="L46" s="266">
        <f t="shared" si="21"/>
        <v>0</v>
      </c>
      <c r="M46" s="266">
        <f t="shared" si="21"/>
        <v>0</v>
      </c>
      <c r="N46" s="266">
        <f t="shared" si="21"/>
        <v>0</v>
      </c>
      <c r="O46" s="266">
        <f t="shared" si="21"/>
        <v>0</v>
      </c>
      <c r="P46" s="268">
        <f t="shared" si="21"/>
        <v>0</v>
      </c>
      <c r="Q46" s="269">
        <f>IF($K$72=0,0,K46/$K$72)</f>
        <v>0.57101528013582348</v>
      </c>
      <c r="R46" s="150" t="s">
        <v>174</v>
      </c>
      <c r="S46" s="270"/>
      <c r="U46" s="67"/>
      <c r="V46" s="118"/>
    </row>
    <row r="47" spans="2:22" s="118" customFormat="1" ht="21" customHeight="1" thickBot="1" x14ac:dyDescent="0.3">
      <c r="B47" s="271"/>
      <c r="C47" s="272"/>
      <c r="D47" s="272"/>
      <c r="E47" s="273"/>
      <c r="F47" s="273"/>
      <c r="G47" s="273"/>
      <c r="H47" s="274" t="s">
        <v>228</v>
      </c>
      <c r="I47" s="222">
        <f>IF(E7=0,0,I46/E7)</f>
        <v>3042.6</v>
      </c>
      <c r="J47" s="264">
        <f>IF((E7-E8)=0,0,J46/(E7-E8))</f>
        <v>2824.4666666666672</v>
      </c>
      <c r="K47" s="275">
        <f>IF(E8=0,0,K46/E8)</f>
        <v>3603.514285714286</v>
      </c>
      <c r="L47" s="212"/>
      <c r="M47" s="212"/>
      <c r="N47" s="212"/>
      <c r="O47" s="212"/>
      <c r="P47" s="212"/>
      <c r="Q47" s="276"/>
      <c r="R47" s="244"/>
      <c r="S47" s="70"/>
      <c r="T47" s="117"/>
      <c r="U47" s="67"/>
    </row>
    <row r="48" spans="2:22" s="118" customFormat="1" ht="12" customHeight="1" thickBot="1" x14ac:dyDescent="0.3">
      <c r="B48" s="261"/>
      <c r="E48" s="263"/>
      <c r="F48" s="263"/>
      <c r="G48" s="263"/>
      <c r="H48" s="71"/>
      <c r="I48" s="222"/>
      <c r="J48" s="222"/>
      <c r="K48" s="277"/>
      <c r="L48" s="212"/>
      <c r="M48" s="212"/>
      <c r="N48" s="212"/>
      <c r="O48" s="212"/>
      <c r="P48" s="212"/>
      <c r="Q48" s="276"/>
      <c r="R48" s="244"/>
      <c r="S48" s="70"/>
      <c r="T48" s="117"/>
      <c r="U48" s="66"/>
      <c r="V48" s="66"/>
    </row>
    <row r="49" spans="1:22" s="66" customFormat="1" ht="55.8" thickBot="1" x14ac:dyDescent="0.3">
      <c r="B49" s="278" t="s">
        <v>229</v>
      </c>
      <c r="C49" s="279" t="s">
        <v>230</v>
      </c>
      <c r="D49" s="280"/>
      <c r="E49" s="280"/>
      <c r="F49" s="280"/>
      <c r="G49" s="280"/>
      <c r="H49" s="132" t="s">
        <v>231</v>
      </c>
      <c r="I49" s="131" t="s">
        <v>166</v>
      </c>
      <c r="J49" s="132" t="s">
        <v>167</v>
      </c>
      <c r="K49" s="133" t="s">
        <v>232</v>
      </c>
      <c r="L49" s="281" t="str">
        <f>L13</f>
        <v>Lyon 2</v>
      </c>
      <c r="M49" s="132" t="str">
        <f>M13</f>
        <v>Partenaire 1</v>
      </c>
      <c r="N49" s="132" t="str">
        <f>N13</f>
        <v>Partenaire 2</v>
      </c>
      <c r="O49" s="132" t="str">
        <f>O13</f>
        <v>Partenaire 3</v>
      </c>
      <c r="P49" s="137" t="s">
        <v>0</v>
      </c>
      <c r="Q49" s="282"/>
      <c r="R49" s="139"/>
      <c r="U49" s="70"/>
      <c r="V49" s="70"/>
    </row>
    <row r="50" spans="1:22" s="70" customFormat="1" ht="19.95" customHeight="1" thickBot="1" x14ac:dyDescent="0.3">
      <c r="B50" s="140" t="s">
        <v>233</v>
      </c>
      <c r="C50" s="141"/>
      <c r="D50" s="142"/>
      <c r="E50" s="142"/>
      <c r="F50" s="142"/>
      <c r="G50" s="142"/>
      <c r="H50" s="370"/>
      <c r="I50" s="145">
        <f>SUM(I51:I54)</f>
        <v>24284</v>
      </c>
      <c r="J50" s="146">
        <f>SUM(J51:J54)</f>
        <v>15912</v>
      </c>
      <c r="K50" s="147">
        <f>SUM(K51:K54)</f>
        <v>8372</v>
      </c>
      <c r="L50" s="145">
        <f t="shared" ref="L50:P50" si="22">SUM(L51:L54)</f>
        <v>0</v>
      </c>
      <c r="M50" s="144">
        <f t="shared" si="22"/>
        <v>0</v>
      </c>
      <c r="N50" s="144">
        <f t="shared" si="22"/>
        <v>0</v>
      </c>
      <c r="O50" s="145">
        <f t="shared" si="22"/>
        <v>0</v>
      </c>
      <c r="P50" s="147">
        <f t="shared" si="22"/>
        <v>0</v>
      </c>
      <c r="Q50" s="180"/>
      <c r="R50" s="283"/>
    </row>
    <row r="51" spans="1:22" s="70" customFormat="1" ht="16.95" customHeight="1" outlineLevel="2" x14ac:dyDescent="0.25">
      <c r="B51" s="284" t="s">
        <v>234</v>
      </c>
      <c r="C51" s="285" t="s">
        <v>235</v>
      </c>
      <c r="D51" s="286"/>
      <c r="E51" s="286"/>
      <c r="F51" s="286"/>
      <c r="G51" s="287"/>
      <c r="H51" s="163">
        <f>IF(H5="Formation courte",312/2,312)</f>
        <v>312</v>
      </c>
      <c r="I51" s="163">
        <f>H51*E8</f>
        <v>2184</v>
      </c>
      <c r="J51" s="164">
        <f t="shared" ref="J51:J54" si="23">I51-K51</f>
        <v>0</v>
      </c>
      <c r="K51" s="165">
        <f>I51</f>
        <v>2184</v>
      </c>
      <c r="L51" s="288"/>
      <c r="M51" s="289"/>
      <c r="N51" s="289"/>
      <c r="O51" s="290"/>
      <c r="P51" s="167">
        <f>SUM(L51:O51)</f>
        <v>0</v>
      </c>
      <c r="Q51" s="180"/>
      <c r="R51" s="244"/>
      <c r="U51" s="118"/>
      <c r="V51" s="118"/>
    </row>
    <row r="52" spans="1:22" s="118" customFormat="1" ht="18.75" customHeight="1" outlineLevel="2" x14ac:dyDescent="0.25">
      <c r="B52" s="284" t="s">
        <v>236</v>
      </c>
      <c r="C52" s="291" t="s">
        <v>237</v>
      </c>
      <c r="D52" s="292"/>
      <c r="E52" s="292"/>
      <c r="F52" s="292"/>
      <c r="G52" s="293"/>
      <c r="H52" s="163">
        <f>IF(OR(H5="Diplôme Universitaire",H5="Formation courte"),708/500*Enseignements!H7,708)</f>
        <v>708</v>
      </c>
      <c r="I52" s="163">
        <f>H52*$E$7</f>
        <v>17700</v>
      </c>
      <c r="J52" s="164">
        <f>I52-K52</f>
        <v>12744</v>
      </c>
      <c r="K52" s="165">
        <f>IF($E$7=0,0,I52/$E$7*$E$8)</f>
        <v>4956</v>
      </c>
      <c r="L52" s="288"/>
      <c r="M52" s="289"/>
      <c r="N52" s="289"/>
      <c r="O52" s="76"/>
      <c r="P52" s="171">
        <f>SUM(L52:O52)</f>
        <v>0</v>
      </c>
      <c r="Q52" s="122"/>
      <c r="R52" s="244"/>
      <c r="S52" s="70"/>
    </row>
    <row r="53" spans="1:22" s="118" customFormat="1" ht="18.75" customHeight="1" outlineLevel="2" x14ac:dyDescent="0.25">
      <c r="B53" s="284" t="s">
        <v>238</v>
      </c>
      <c r="C53" s="112" t="s">
        <v>239</v>
      </c>
      <c r="D53" s="294"/>
      <c r="E53" s="294"/>
      <c r="F53" s="294"/>
      <c r="G53" s="294"/>
      <c r="H53" s="163">
        <f>IF(OR(H5="Diplôme Universitaire",H5="Formation courte"),90/500*Enseignements!H7,90)</f>
        <v>90</v>
      </c>
      <c r="I53" s="163">
        <f t="shared" ref="I53:I58" si="24">H53*$E$7</f>
        <v>2250</v>
      </c>
      <c r="J53" s="164">
        <f t="shared" si="23"/>
        <v>1620</v>
      </c>
      <c r="K53" s="165">
        <f t="shared" ref="K53:K58" si="25">IF($E$7=0,0,I53/$E$7*$E$8)</f>
        <v>630</v>
      </c>
      <c r="L53" s="288"/>
      <c r="M53" s="289"/>
      <c r="N53" s="289"/>
      <c r="O53" s="76"/>
      <c r="P53" s="171">
        <f>SUM(L53:O53)</f>
        <v>0</v>
      </c>
      <c r="Q53" s="122"/>
      <c r="R53" s="244"/>
      <c r="S53" s="70"/>
    </row>
    <row r="54" spans="1:22" s="118" customFormat="1" ht="18.75" customHeight="1" outlineLevel="2" thickBot="1" x14ac:dyDescent="0.3">
      <c r="B54" s="284" t="s">
        <v>240</v>
      </c>
      <c r="C54" s="112" t="s">
        <v>241</v>
      </c>
      <c r="D54" s="294"/>
      <c r="E54" s="294"/>
      <c r="F54" s="294"/>
      <c r="G54" s="294"/>
      <c r="H54" s="163">
        <f>IF(OR(H5="Diplôme Universitaire",H5="Formation courte"),86/500*Enseignements!H7,86)</f>
        <v>86</v>
      </c>
      <c r="I54" s="163">
        <f t="shared" si="24"/>
        <v>2150</v>
      </c>
      <c r="J54" s="164">
        <f t="shared" si="23"/>
        <v>1548</v>
      </c>
      <c r="K54" s="165">
        <f t="shared" si="25"/>
        <v>602</v>
      </c>
      <c r="L54" s="288"/>
      <c r="M54" s="289"/>
      <c r="N54" s="289"/>
      <c r="O54" s="76"/>
      <c r="P54" s="171">
        <f>SUM(L54:O54)</f>
        <v>0</v>
      </c>
      <c r="Q54" s="122"/>
      <c r="R54" s="244"/>
      <c r="S54" s="70"/>
      <c r="U54" s="70"/>
      <c r="V54" s="70"/>
    </row>
    <row r="55" spans="1:22" s="70" customFormat="1" ht="19.2" customHeight="1" thickBot="1" x14ac:dyDescent="0.3">
      <c r="B55" s="140" t="s">
        <v>242</v>
      </c>
      <c r="C55" s="141"/>
      <c r="D55" s="142"/>
      <c r="E55" s="142"/>
      <c r="F55" s="142"/>
      <c r="G55" s="142"/>
      <c r="H55" s="265"/>
      <c r="I55" s="145">
        <f>SUM(I56:I58)</f>
        <v>24100</v>
      </c>
      <c r="J55" s="146">
        <f>SUM(J56:J58)</f>
        <v>17352</v>
      </c>
      <c r="K55" s="147">
        <f>SUM(K56:K58)</f>
        <v>6748</v>
      </c>
      <c r="L55" s="145">
        <f t="shared" ref="L55:P55" si="26">SUM(L56:L58)</f>
        <v>0</v>
      </c>
      <c r="M55" s="144">
        <f t="shared" si="26"/>
        <v>0</v>
      </c>
      <c r="N55" s="144">
        <f t="shared" si="26"/>
        <v>0</v>
      </c>
      <c r="O55" s="145">
        <f t="shared" si="26"/>
        <v>0</v>
      </c>
      <c r="P55" s="147">
        <f t="shared" si="26"/>
        <v>0</v>
      </c>
      <c r="Q55" s="295"/>
      <c r="R55" s="244"/>
    </row>
    <row r="56" spans="1:22" s="70" customFormat="1" ht="16.95" customHeight="1" outlineLevel="1" x14ac:dyDescent="0.25">
      <c r="B56" s="94" t="s">
        <v>243</v>
      </c>
      <c r="C56" s="245" t="s">
        <v>244</v>
      </c>
      <c r="D56" s="246"/>
      <c r="E56" s="246"/>
      <c r="F56" s="246"/>
      <c r="G56" s="246"/>
      <c r="H56" s="163">
        <f>IF(OR(H5="Diplôme Universitaire",H5="Formation courte"),222/500*Enseignements!H7,222)</f>
        <v>222</v>
      </c>
      <c r="I56" s="163">
        <f t="shared" si="24"/>
        <v>5550</v>
      </c>
      <c r="J56" s="164">
        <f t="shared" ref="J56:J58" si="27">I56-K56</f>
        <v>3996</v>
      </c>
      <c r="K56" s="165">
        <f t="shared" si="25"/>
        <v>1554</v>
      </c>
      <c r="L56" s="288"/>
      <c r="M56" s="289"/>
      <c r="N56" s="289"/>
      <c r="O56" s="76"/>
      <c r="P56" s="171">
        <f>SUM(L56:O56)</f>
        <v>0</v>
      </c>
      <c r="Q56" s="122"/>
      <c r="R56" s="296"/>
    </row>
    <row r="57" spans="1:22" s="70" customFormat="1" ht="16.95" customHeight="1" outlineLevel="1" x14ac:dyDescent="0.25">
      <c r="B57" s="94" t="s">
        <v>245</v>
      </c>
      <c r="C57" s="245" t="s">
        <v>246</v>
      </c>
      <c r="D57" s="246"/>
      <c r="E57" s="246"/>
      <c r="F57" s="246"/>
      <c r="G57" s="246"/>
      <c r="H57" s="163">
        <f>IF(OR(H5="Diplôme Universitaire",H5="Formation courte"),550/500*Enseignements!H7,550)</f>
        <v>550</v>
      </c>
      <c r="I57" s="163">
        <f t="shared" si="24"/>
        <v>13750</v>
      </c>
      <c r="J57" s="164">
        <f t="shared" si="27"/>
        <v>9900</v>
      </c>
      <c r="K57" s="165">
        <f t="shared" si="25"/>
        <v>3850</v>
      </c>
      <c r="L57" s="288"/>
      <c r="M57" s="289"/>
      <c r="N57" s="289"/>
      <c r="O57" s="76"/>
      <c r="P57" s="171">
        <f>SUM(L57:O57)</f>
        <v>0</v>
      </c>
      <c r="Q57" s="122"/>
      <c r="R57" s="244"/>
    </row>
    <row r="58" spans="1:22" s="70" customFormat="1" ht="16.95" customHeight="1" outlineLevel="1" thickBot="1" x14ac:dyDescent="0.3">
      <c r="B58" s="94" t="s">
        <v>247</v>
      </c>
      <c r="C58" s="245" t="s">
        <v>248</v>
      </c>
      <c r="D58" s="246"/>
      <c r="E58" s="246"/>
      <c r="F58" s="246"/>
      <c r="G58" s="246"/>
      <c r="H58" s="163">
        <f>IF(OR(H5="Diplôme Universitaire",H5="Formation courte"),192/500*Enseignements!H7,192)</f>
        <v>192</v>
      </c>
      <c r="I58" s="163">
        <f t="shared" si="24"/>
        <v>4800</v>
      </c>
      <c r="J58" s="164">
        <f t="shared" si="27"/>
        <v>3456</v>
      </c>
      <c r="K58" s="165">
        <f t="shared" si="25"/>
        <v>1344</v>
      </c>
      <c r="L58" s="288"/>
      <c r="M58" s="289"/>
      <c r="N58" s="289"/>
      <c r="O58" s="76"/>
      <c r="P58" s="171">
        <f>SUM(L58:O58)</f>
        <v>0</v>
      </c>
      <c r="Q58" s="122"/>
      <c r="R58" s="244"/>
    </row>
    <row r="59" spans="1:22" s="70" customFormat="1" ht="21.45" customHeight="1" thickBot="1" x14ac:dyDescent="0.3">
      <c r="B59" s="140" t="s">
        <v>249</v>
      </c>
      <c r="C59" s="141"/>
      <c r="D59" s="142"/>
      <c r="E59" s="142"/>
      <c r="F59" s="142"/>
      <c r="G59" s="142"/>
      <c r="H59" s="265"/>
      <c r="I59" s="145">
        <f>I50+I55</f>
        <v>48384</v>
      </c>
      <c r="J59" s="146">
        <f>J50+J55</f>
        <v>33264</v>
      </c>
      <c r="K59" s="147">
        <f>K50+K55</f>
        <v>15120</v>
      </c>
      <c r="L59" s="145">
        <f t="shared" ref="L59:P59" si="28">L50+L55</f>
        <v>0</v>
      </c>
      <c r="M59" s="144">
        <f t="shared" si="28"/>
        <v>0</v>
      </c>
      <c r="N59" s="144">
        <f t="shared" si="28"/>
        <v>0</v>
      </c>
      <c r="O59" s="145">
        <f t="shared" si="28"/>
        <v>0</v>
      </c>
      <c r="P59" s="147">
        <f t="shared" si="28"/>
        <v>0</v>
      </c>
      <c r="Q59" s="149">
        <f>IF($K$72=0,0,K59/$K$72)</f>
        <v>0.34227504244482171</v>
      </c>
      <c r="R59" s="297" t="s">
        <v>174</v>
      </c>
      <c r="S59" s="298">
        <f>IF((K59+K46)=0,0,K59/(K59+K46))</f>
        <v>0.3747713448639966</v>
      </c>
      <c r="T59" s="150" t="s">
        <v>250</v>
      </c>
      <c r="U59" s="67"/>
    </row>
    <row r="60" spans="1:22" ht="21" customHeight="1" thickBot="1" x14ac:dyDescent="0.3">
      <c r="A60" s="70"/>
      <c r="B60" s="271"/>
      <c r="C60" s="299"/>
      <c r="D60" s="299"/>
      <c r="E60" s="273"/>
      <c r="F60" s="273"/>
      <c r="G60" s="273"/>
      <c r="H60" s="71" t="s">
        <v>251</v>
      </c>
      <c r="I60" s="264">
        <f>IF(E7=0,0,I59/E7)</f>
        <v>1935.36</v>
      </c>
      <c r="J60" s="264">
        <f>IF((E7-E8)=0,0,J59/(E7-E8))</f>
        <v>1848</v>
      </c>
      <c r="K60" s="275">
        <f>IF(E8=0,0,K59/E8)</f>
        <v>2160</v>
      </c>
      <c r="L60" s="212"/>
      <c r="M60" s="212"/>
      <c r="N60" s="212"/>
      <c r="O60" s="212"/>
      <c r="P60" s="212"/>
      <c r="Q60" s="70"/>
      <c r="R60" s="70"/>
      <c r="S60" s="70"/>
      <c r="T60" s="117"/>
      <c r="U60" s="70"/>
      <c r="V60" s="70"/>
    </row>
    <row r="61" spans="1:22" s="70" customFormat="1" ht="13.2" customHeight="1" thickBot="1" x14ac:dyDescent="0.3">
      <c r="B61" s="300"/>
      <c r="C61" s="301"/>
      <c r="D61" s="301"/>
      <c r="E61" s="301"/>
      <c r="F61" s="301"/>
      <c r="G61" s="301"/>
      <c r="H61" s="301"/>
      <c r="I61" s="302"/>
      <c r="J61" s="302"/>
      <c r="K61" s="303"/>
      <c r="L61" s="304"/>
      <c r="M61" s="304"/>
      <c r="N61" s="304"/>
      <c r="O61" s="304"/>
      <c r="P61" s="304"/>
      <c r="Q61" s="305"/>
      <c r="R61" s="66"/>
    </row>
    <row r="62" spans="1:22" s="70" customFormat="1" ht="24.45" customHeight="1" thickBot="1" x14ac:dyDescent="0.3">
      <c r="B62" s="306" t="s">
        <v>252</v>
      </c>
      <c r="C62" s="306"/>
      <c r="D62" s="307"/>
      <c r="E62" s="308"/>
      <c r="F62" s="307"/>
      <c r="G62" s="309"/>
      <c r="H62" s="310"/>
      <c r="I62" s="311">
        <f>I59+I46</f>
        <v>124449</v>
      </c>
      <c r="J62" s="311">
        <f>J59+J46</f>
        <v>84104.400000000009</v>
      </c>
      <c r="K62" s="312">
        <f>K59+K46</f>
        <v>40344.600000000006</v>
      </c>
      <c r="L62" s="311">
        <f t="shared" ref="L62:O62" si="29">L59+L46</f>
        <v>0</v>
      </c>
      <c r="M62" s="311">
        <f t="shared" si="29"/>
        <v>0</v>
      </c>
      <c r="N62" s="311">
        <f t="shared" si="29"/>
        <v>0</v>
      </c>
      <c r="O62" s="311">
        <f t="shared" si="29"/>
        <v>0</v>
      </c>
      <c r="P62" s="312">
        <f>P59+P46</f>
        <v>0</v>
      </c>
      <c r="Q62" s="149">
        <f>IF($K$72=0,0,K62/$K$72)</f>
        <v>0.91329032258064524</v>
      </c>
      <c r="R62" s="150" t="s">
        <v>174</v>
      </c>
      <c r="U62" s="118"/>
      <c r="V62" s="118"/>
    </row>
    <row r="63" spans="1:22" s="118" customFormat="1" ht="18.75" customHeight="1" x14ac:dyDescent="0.25">
      <c r="B63" s="205"/>
      <c r="C63" s="286"/>
      <c r="D63" s="313"/>
      <c r="E63" s="313"/>
      <c r="F63" s="313"/>
      <c r="G63" s="314"/>
      <c r="H63" s="314" t="s">
        <v>253</v>
      </c>
      <c r="I63" s="315">
        <f>IF(E7=0,0,I62/$E$7)</f>
        <v>4977.96</v>
      </c>
      <c r="J63" s="316">
        <f>IF(($E$7-$E$8)=0,0,J62/($E$7-$E$8))</f>
        <v>4672.4666666666672</v>
      </c>
      <c r="K63" s="317">
        <f>IF(E8=0,0,K62/$E$8)</f>
        <v>5763.5142857142864</v>
      </c>
      <c r="L63" s="318"/>
      <c r="M63" s="318"/>
      <c r="N63" s="318"/>
      <c r="O63" s="319"/>
      <c r="P63" s="319"/>
      <c r="Q63" s="122"/>
      <c r="R63" s="244"/>
      <c r="S63" s="70"/>
    </row>
    <row r="64" spans="1:22" s="118" customFormat="1" ht="18.45" customHeight="1" thickBot="1" x14ac:dyDescent="0.3">
      <c r="B64" s="217"/>
      <c r="C64" s="320"/>
      <c r="D64" s="321"/>
      <c r="E64" s="321"/>
      <c r="F64" s="321"/>
      <c r="G64" s="322"/>
      <c r="H64" s="322" t="s">
        <v>254</v>
      </c>
      <c r="I64" s="255">
        <f t="shared" ref="I64:P64" si="30">IF(I33=0,0,I62/I33)</f>
        <v>260.35355648535563</v>
      </c>
      <c r="J64" s="255">
        <f t="shared" si="30"/>
        <v>263.48496240601503</v>
      </c>
      <c r="K64" s="255">
        <f t="shared" si="30"/>
        <v>254.05919395466006</v>
      </c>
      <c r="L64" s="255">
        <f t="shared" si="30"/>
        <v>0</v>
      </c>
      <c r="M64" s="255">
        <f t="shared" si="30"/>
        <v>0</v>
      </c>
      <c r="N64" s="255">
        <f t="shared" si="30"/>
        <v>0</v>
      </c>
      <c r="O64" s="255">
        <f t="shared" si="30"/>
        <v>0</v>
      </c>
      <c r="P64" s="363">
        <f t="shared" si="30"/>
        <v>0</v>
      </c>
      <c r="Q64" s="364"/>
      <c r="R64" s="244"/>
      <c r="S64" s="70"/>
      <c r="U64" s="70"/>
      <c r="V64" s="70"/>
    </row>
    <row r="65" spans="2:24" ht="14.4" thickBot="1" x14ac:dyDescent="0.3">
      <c r="B65" s="323"/>
      <c r="C65" s="323"/>
      <c r="D65" s="323"/>
      <c r="E65" s="323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324"/>
      <c r="R65" s="66"/>
      <c r="S65" s="70"/>
      <c r="T65" s="70"/>
      <c r="U65" s="66"/>
      <c r="V65" s="70"/>
      <c r="W65" s="70"/>
      <c r="X65" s="70"/>
    </row>
    <row r="66" spans="2:24" ht="24.45" customHeight="1" thickBot="1" x14ac:dyDescent="0.3">
      <c r="B66" s="492" t="s">
        <v>255</v>
      </c>
      <c r="C66" s="493"/>
      <c r="D66" s="493"/>
      <c r="E66" s="493"/>
      <c r="F66" s="493"/>
      <c r="G66" s="493"/>
      <c r="H66" s="493"/>
      <c r="I66" s="493"/>
      <c r="J66" s="493"/>
      <c r="K66" s="494"/>
      <c r="L66" s="123"/>
      <c r="M66" s="124"/>
      <c r="N66" s="124"/>
      <c r="O66" s="124"/>
      <c r="P66" s="125"/>
      <c r="Q66" s="66"/>
      <c r="R66" s="66"/>
      <c r="S66" s="70"/>
      <c r="T66" s="66"/>
      <c r="U66" s="70"/>
      <c r="V66" s="70"/>
      <c r="W66" s="70"/>
      <c r="X66" s="70"/>
    </row>
    <row r="67" spans="2:24" ht="7.5" customHeight="1" thickBot="1" x14ac:dyDescent="0.3">
      <c r="B67" s="325"/>
      <c r="C67" s="70"/>
      <c r="D67" s="70"/>
      <c r="E67" s="70"/>
      <c r="F67" s="70"/>
      <c r="G67" s="70"/>
      <c r="H67" s="107"/>
      <c r="I67" s="326"/>
      <c r="J67" s="326"/>
      <c r="K67" s="327"/>
      <c r="L67" s="328"/>
      <c r="M67" s="328"/>
      <c r="N67" s="328"/>
      <c r="O67" s="328"/>
      <c r="P67" s="328"/>
      <c r="Q67" s="68"/>
      <c r="R67" s="66"/>
      <c r="S67" s="70"/>
      <c r="T67" s="70"/>
      <c r="U67" s="66"/>
      <c r="V67" s="66"/>
      <c r="W67" s="70"/>
      <c r="X67" s="70"/>
    </row>
    <row r="68" spans="2:24" s="66" customFormat="1" ht="55.8" thickBot="1" x14ac:dyDescent="0.3">
      <c r="B68" s="278" t="s">
        <v>256</v>
      </c>
      <c r="C68" s="279" t="s">
        <v>257</v>
      </c>
      <c r="D68" s="280"/>
      <c r="E68" s="280"/>
      <c r="F68" s="280"/>
      <c r="G68" s="280"/>
      <c r="H68" s="329"/>
      <c r="I68" s="330" t="s">
        <v>166</v>
      </c>
      <c r="J68" s="132" t="s">
        <v>167</v>
      </c>
      <c r="K68" s="133" t="s">
        <v>232</v>
      </c>
      <c r="L68" s="281" t="s">
        <v>169</v>
      </c>
      <c r="M68" s="131" t="s">
        <v>170</v>
      </c>
      <c r="N68" s="131" t="s">
        <v>171</v>
      </c>
      <c r="O68" s="331" t="s">
        <v>172</v>
      </c>
      <c r="P68" s="332" t="s">
        <v>0</v>
      </c>
      <c r="Q68" s="282"/>
      <c r="R68" s="139"/>
      <c r="U68" s="70"/>
      <c r="V68" s="70"/>
    </row>
    <row r="69" spans="2:24" ht="24" customHeight="1" x14ac:dyDescent="0.25">
      <c r="B69" s="233" t="s">
        <v>258</v>
      </c>
      <c r="C69" s="285" t="s">
        <v>259</v>
      </c>
      <c r="D69" s="333"/>
      <c r="E69" s="333"/>
      <c r="F69" s="333"/>
      <c r="G69" s="333"/>
      <c r="H69" s="334"/>
      <c r="I69" s="335">
        <f>J69+K69</f>
        <v>48549</v>
      </c>
      <c r="J69" s="335">
        <f>'Recettes et simulat'!G16</f>
        <v>4374</v>
      </c>
      <c r="K69" s="336">
        <f>'Recettes et simulat'!J28</f>
        <v>44175</v>
      </c>
      <c r="L69" s="239"/>
      <c r="M69" s="240"/>
      <c r="N69" s="337"/>
      <c r="O69" s="337"/>
      <c r="P69" s="242">
        <f>SUM(L69:O69)</f>
        <v>0</v>
      </c>
      <c r="Q69" s="66"/>
      <c r="R69" s="66"/>
      <c r="S69" s="70"/>
      <c r="T69" s="70"/>
      <c r="U69" s="70"/>
      <c r="V69" s="70"/>
      <c r="W69" s="70"/>
      <c r="X69" s="66"/>
    </row>
    <row r="70" spans="2:24" ht="27" customHeight="1" thickBot="1" x14ac:dyDescent="0.3">
      <c r="B70" s="250" t="s">
        <v>260</v>
      </c>
      <c r="C70" s="251" t="s">
        <v>261</v>
      </c>
      <c r="D70" s="338"/>
      <c r="E70" s="338"/>
      <c r="F70" s="338"/>
      <c r="G70" s="338"/>
      <c r="H70" s="339"/>
      <c r="I70" s="340">
        <f>J70+K70</f>
        <v>0</v>
      </c>
      <c r="J70" s="341"/>
      <c r="K70" s="342">
        <f>'Recettes et simulat'!F39</f>
        <v>0</v>
      </c>
      <c r="L70" s="257"/>
      <c r="M70" s="258"/>
      <c r="N70" s="258"/>
      <c r="O70" s="343"/>
      <c r="P70" s="260">
        <f>SUM(L70:O70)</f>
        <v>0</v>
      </c>
      <c r="Q70" s="66"/>
      <c r="R70" s="66"/>
      <c r="S70" s="70"/>
      <c r="T70" s="70"/>
      <c r="U70" s="70"/>
      <c r="V70" s="70"/>
      <c r="W70" s="70"/>
      <c r="X70" s="66"/>
    </row>
    <row r="71" spans="2:24" ht="11.55" customHeight="1" thickBot="1" x14ac:dyDescent="0.3">
      <c r="B71" s="344"/>
      <c r="C71" s="345"/>
      <c r="D71" s="346"/>
      <c r="E71" s="345"/>
      <c r="F71" s="346"/>
      <c r="G71" s="346"/>
      <c r="H71" s="346"/>
      <c r="I71" s="347"/>
      <c r="J71" s="347"/>
      <c r="K71" s="348"/>
      <c r="L71" s="347"/>
      <c r="M71" s="347"/>
      <c r="N71" s="347"/>
      <c r="O71" s="347"/>
      <c r="P71" s="347"/>
      <c r="Q71" s="349"/>
      <c r="R71" s="350"/>
      <c r="S71" s="351"/>
      <c r="T71" s="70"/>
      <c r="U71" s="70"/>
      <c r="V71" s="70"/>
      <c r="W71" s="70"/>
      <c r="X71" s="66"/>
    </row>
    <row r="72" spans="2:24" s="70" customFormat="1" ht="24.45" customHeight="1" thickBot="1" x14ac:dyDescent="0.3">
      <c r="B72" s="306" t="s">
        <v>262</v>
      </c>
      <c r="C72" s="306"/>
      <c r="D72" s="307"/>
      <c r="E72" s="308"/>
      <c r="F72" s="307"/>
      <c r="G72" s="309"/>
      <c r="H72" s="310"/>
      <c r="I72" s="311">
        <f>I69+I70</f>
        <v>48549</v>
      </c>
      <c r="J72" s="311">
        <f>J69+J70</f>
        <v>4374</v>
      </c>
      <c r="K72" s="312">
        <f>K69+K70</f>
        <v>44175</v>
      </c>
      <c r="L72" s="311">
        <f t="shared" ref="L72:O72" si="31">L69+L70</f>
        <v>0</v>
      </c>
      <c r="M72" s="311">
        <f t="shared" si="31"/>
        <v>0</v>
      </c>
      <c r="N72" s="311">
        <f t="shared" si="31"/>
        <v>0</v>
      </c>
      <c r="O72" s="311">
        <f t="shared" si="31"/>
        <v>0</v>
      </c>
      <c r="P72" s="312">
        <f>P69+P70</f>
        <v>0</v>
      </c>
      <c r="U72" s="118"/>
      <c r="V72" s="118"/>
      <c r="X72" s="66"/>
    </row>
    <row r="73" spans="2:24" s="118" customFormat="1" ht="18" customHeight="1" thickBot="1" x14ac:dyDescent="0.3">
      <c r="B73" s="271"/>
      <c r="C73" s="299"/>
      <c r="D73" s="352"/>
      <c r="E73" s="352"/>
      <c r="F73" s="352"/>
      <c r="G73" s="353"/>
      <c r="H73" s="353" t="s">
        <v>263</v>
      </c>
      <c r="I73" s="354"/>
      <c r="J73" s="354"/>
      <c r="K73" s="355">
        <f>IF(E8=0,0,K72/$E$8)</f>
        <v>6310.7142857142853</v>
      </c>
      <c r="L73" s="318"/>
      <c r="M73" s="318"/>
      <c r="N73" s="318"/>
      <c r="O73" s="319"/>
      <c r="P73" s="319"/>
      <c r="Q73" s="122"/>
      <c r="R73" s="244"/>
      <c r="S73" s="70"/>
    </row>
    <row r="74" spans="2:24" s="70" customFormat="1" ht="14.4" thickBot="1" x14ac:dyDescent="0.3">
      <c r="C74" s="323"/>
      <c r="D74" s="323"/>
      <c r="E74" s="323"/>
      <c r="F74" s="323"/>
      <c r="G74" s="323"/>
      <c r="H74" s="323"/>
      <c r="I74" s="356"/>
      <c r="J74" s="356"/>
      <c r="K74" s="356"/>
      <c r="L74" s="356"/>
      <c r="M74" s="356"/>
      <c r="N74" s="356"/>
      <c r="O74" s="356"/>
      <c r="P74" s="356"/>
      <c r="Q74" s="67"/>
      <c r="R74" s="66"/>
    </row>
    <row r="75" spans="2:24" s="70" customFormat="1" ht="24.45" customHeight="1" thickBot="1" x14ac:dyDescent="0.3">
      <c r="B75" s="306" t="s">
        <v>264</v>
      </c>
      <c r="C75" s="306"/>
      <c r="D75" s="307"/>
      <c r="E75" s="308"/>
      <c r="F75" s="307"/>
      <c r="G75" s="309"/>
      <c r="H75" s="310"/>
      <c r="I75" s="311">
        <f t="shared" ref="I75:P75" si="32">I72-I62</f>
        <v>-75900</v>
      </c>
      <c r="J75" s="311">
        <f t="shared" si="32"/>
        <v>-79730.400000000009</v>
      </c>
      <c r="K75" s="312">
        <f t="shared" si="32"/>
        <v>3830.3999999999942</v>
      </c>
      <c r="L75" s="311">
        <f t="shared" si="32"/>
        <v>0</v>
      </c>
      <c r="M75" s="311">
        <f t="shared" si="32"/>
        <v>0</v>
      </c>
      <c r="N75" s="311">
        <f t="shared" si="32"/>
        <v>0</v>
      </c>
      <c r="O75" s="311">
        <f t="shared" si="32"/>
        <v>0</v>
      </c>
      <c r="P75" s="312">
        <f t="shared" si="32"/>
        <v>0</v>
      </c>
      <c r="Q75" s="149">
        <f>IF($K$72=0,0,K75/$K$72)</f>
        <v>8.6709677419354703E-2</v>
      </c>
      <c r="R75" s="150" t="s">
        <v>174</v>
      </c>
      <c r="U75" s="118"/>
      <c r="V75" s="118"/>
      <c r="X75" s="66"/>
    </row>
    <row r="76" spans="2:24" s="70" customFormat="1" ht="14.55" hidden="1" customHeight="1" thickBot="1" x14ac:dyDescent="0.3">
      <c r="B76" s="306" t="s">
        <v>265</v>
      </c>
      <c r="C76" s="306"/>
      <c r="D76" s="307"/>
      <c r="E76" s="308"/>
      <c r="F76" s="307"/>
      <c r="G76" s="309"/>
      <c r="H76" s="310"/>
      <c r="I76" s="311">
        <f>'Budget détaillé heures comp'!I75</f>
        <v>-25865.880000000005</v>
      </c>
      <c r="J76" s="311">
        <f>'Budget détaillé heures comp'!J75</f>
        <v>-46068.736000000004</v>
      </c>
      <c r="K76" s="312">
        <f>'Budget détaillé heures comp'!K75</f>
        <v>20202.856</v>
      </c>
      <c r="L76" s="311"/>
      <c r="M76" s="311"/>
      <c r="N76" s="311"/>
      <c r="O76" s="311"/>
      <c r="P76" s="312"/>
      <c r="Q76" s="149">
        <f>IF($K$72=0,0,K76/$K$72)</f>
        <v>0.4573368647425014</v>
      </c>
      <c r="R76" s="150" t="s">
        <v>174</v>
      </c>
      <c r="U76" s="118"/>
      <c r="V76" s="118"/>
      <c r="X76" s="66"/>
    </row>
    <row r="77" spans="2:24" ht="13.8" x14ac:dyDescent="0.25">
      <c r="B77" s="70"/>
      <c r="C77" s="70"/>
      <c r="D77" s="70"/>
      <c r="E77" s="70"/>
      <c r="F77" s="70"/>
      <c r="G77" s="70"/>
      <c r="H77" s="107"/>
      <c r="I77" s="108"/>
      <c r="J77" s="109"/>
      <c r="K77" s="107"/>
      <c r="L77" s="107"/>
      <c r="M77" s="107"/>
      <c r="N77" s="107"/>
      <c r="O77" s="107"/>
      <c r="P77" s="107"/>
      <c r="Q77" s="66"/>
      <c r="R77" s="66"/>
      <c r="S77" s="70"/>
      <c r="T77" s="70"/>
      <c r="U77" s="70"/>
      <c r="V77" s="70"/>
      <c r="W77" s="70"/>
      <c r="X77" s="70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32"/>
  <sheetViews>
    <sheetView topLeftCell="A4" zoomScaleNormal="100" workbookViewId="0">
      <selection activeCell="I25" sqref="I25"/>
    </sheetView>
  </sheetViews>
  <sheetFormatPr baseColWidth="10" defaultColWidth="11.44140625" defaultRowHeight="13.2" x14ac:dyDescent="0.25"/>
  <cols>
    <col min="1" max="1" width="2.6640625" style="1" customWidth="1"/>
    <col min="2" max="2" width="11.44140625" style="1"/>
    <col min="3" max="3" width="34.6640625" style="1" bestFit="1" customWidth="1"/>
    <col min="4" max="4" width="9.33203125" style="1" customWidth="1"/>
    <col min="5" max="5" width="15" style="1" hidden="1" customWidth="1"/>
    <col min="6" max="7" width="5.44140625" style="1" hidden="1" customWidth="1"/>
    <col min="8" max="8" width="11.44140625" style="1"/>
    <col min="9" max="9" width="59.33203125" style="1" bestFit="1" customWidth="1"/>
    <col min="10" max="16384" width="11.44140625" style="1"/>
  </cols>
  <sheetData>
    <row r="3" spans="2:9" x14ac:dyDescent="0.25">
      <c r="B3" s="543" t="s">
        <v>266</v>
      </c>
      <c r="C3" s="544"/>
      <c r="D3" s="544"/>
      <c r="E3" s="4"/>
      <c r="F3" s="4"/>
      <c r="G3" s="4"/>
      <c r="I3" s="8" t="s">
        <v>267</v>
      </c>
    </row>
    <row r="4" spans="2:9" x14ac:dyDescent="0.25">
      <c r="C4" s="6"/>
      <c r="D4" s="6"/>
      <c r="E4" s="6"/>
      <c r="F4" s="7"/>
      <c r="G4" s="7"/>
    </row>
    <row r="5" spans="2:9" ht="14.4" x14ac:dyDescent="0.25">
      <c r="E5" s="1" t="s">
        <v>268</v>
      </c>
      <c r="F5" s="402" t="s">
        <v>269</v>
      </c>
      <c r="G5" s="402" t="s">
        <v>270</v>
      </c>
    </row>
    <row r="6" spans="2:9" ht="14.4" x14ac:dyDescent="0.25">
      <c r="B6" s="542" t="s">
        <v>271</v>
      </c>
      <c r="C6" s="4" t="s">
        <v>272</v>
      </c>
      <c r="D6" s="3" t="s">
        <v>36</v>
      </c>
      <c r="E6" s="3">
        <v>1</v>
      </c>
      <c r="F6" s="3">
        <v>1.5</v>
      </c>
      <c r="G6" s="3">
        <v>1.5</v>
      </c>
      <c r="I6" s="5" t="s">
        <v>273</v>
      </c>
    </row>
    <row r="7" spans="2:9" ht="14.4" x14ac:dyDescent="0.25">
      <c r="B7" s="542"/>
      <c r="C7" s="4" t="s">
        <v>274</v>
      </c>
      <c r="D7" s="414" t="s">
        <v>45</v>
      </c>
      <c r="E7" s="3">
        <v>1</v>
      </c>
      <c r="F7" s="3">
        <v>1</v>
      </c>
      <c r="G7" s="3">
        <v>1</v>
      </c>
      <c r="I7" s="5" t="s">
        <v>275</v>
      </c>
    </row>
    <row r="8" spans="2:9" ht="14.4" x14ac:dyDescent="0.25">
      <c r="B8" s="542"/>
      <c r="C8" s="5" t="s">
        <v>276</v>
      </c>
      <c r="D8" s="414" t="s">
        <v>277</v>
      </c>
      <c r="E8" s="3">
        <v>1</v>
      </c>
      <c r="F8" s="3">
        <v>0.66</v>
      </c>
      <c r="G8" s="3">
        <v>0.66</v>
      </c>
      <c r="I8" s="5" t="s">
        <v>278</v>
      </c>
    </row>
    <row r="9" spans="2:9" ht="14.4" x14ac:dyDescent="0.25">
      <c r="B9" s="542" t="s">
        <v>279</v>
      </c>
      <c r="C9" s="4" t="s">
        <v>280</v>
      </c>
      <c r="D9" s="414" t="s">
        <v>93</v>
      </c>
      <c r="E9" s="414">
        <v>0</v>
      </c>
      <c r="F9" s="3">
        <v>0</v>
      </c>
      <c r="G9" s="3">
        <v>1</v>
      </c>
      <c r="I9" s="5" t="s">
        <v>116</v>
      </c>
    </row>
    <row r="10" spans="2:9" ht="14.4" x14ac:dyDescent="0.25">
      <c r="B10" s="542"/>
      <c r="C10" s="5" t="s">
        <v>281</v>
      </c>
      <c r="D10" s="414" t="s">
        <v>91</v>
      </c>
      <c r="E10" s="3">
        <v>1</v>
      </c>
      <c r="F10" s="3">
        <v>1</v>
      </c>
      <c r="G10" s="3">
        <v>1</v>
      </c>
      <c r="I10" s="5" t="s">
        <v>282</v>
      </c>
    </row>
    <row r="11" spans="2:9" ht="14.4" x14ac:dyDescent="0.25">
      <c r="B11" s="542"/>
      <c r="C11" s="5" t="s">
        <v>283</v>
      </c>
      <c r="D11" s="414" t="s">
        <v>284</v>
      </c>
      <c r="E11" s="3">
        <v>1</v>
      </c>
      <c r="F11" s="3">
        <v>1.5</v>
      </c>
      <c r="G11" s="3">
        <v>1.5</v>
      </c>
      <c r="I11" s="5" t="s">
        <v>285</v>
      </c>
    </row>
    <row r="12" spans="2:9" ht="14.4" x14ac:dyDescent="0.25">
      <c r="B12" s="542"/>
      <c r="C12" s="4" t="s">
        <v>286</v>
      </c>
      <c r="D12" s="414" t="s">
        <v>105</v>
      </c>
      <c r="E12" s="3">
        <v>0</v>
      </c>
      <c r="F12" s="3">
        <v>0</v>
      </c>
      <c r="G12" s="3">
        <v>1</v>
      </c>
      <c r="I12" s="5" t="s">
        <v>287</v>
      </c>
    </row>
    <row r="13" spans="2:9" ht="14.4" x14ac:dyDescent="0.25">
      <c r="B13" s="542"/>
      <c r="C13" s="5" t="s">
        <v>288</v>
      </c>
      <c r="D13" s="414" t="s">
        <v>96</v>
      </c>
      <c r="E13" s="3">
        <v>1</v>
      </c>
      <c r="F13" s="3">
        <v>1</v>
      </c>
      <c r="G13" s="3">
        <v>1</v>
      </c>
      <c r="I13" s="5" t="s">
        <v>289</v>
      </c>
    </row>
    <row r="14" spans="2:9" ht="14.4" x14ac:dyDescent="0.25">
      <c r="B14" s="542"/>
      <c r="C14" s="5" t="s">
        <v>290</v>
      </c>
      <c r="D14" s="414" t="s">
        <v>291</v>
      </c>
      <c r="E14" s="3">
        <v>1</v>
      </c>
      <c r="F14" s="3">
        <v>1.5</v>
      </c>
      <c r="G14" s="3">
        <v>1.5</v>
      </c>
      <c r="I14" s="5" t="s">
        <v>292</v>
      </c>
    </row>
    <row r="15" spans="2:9" ht="14.4" x14ac:dyDescent="0.25">
      <c r="B15" s="542"/>
      <c r="C15" s="4" t="s">
        <v>293</v>
      </c>
      <c r="D15" s="414" t="s">
        <v>54</v>
      </c>
      <c r="E15" s="3">
        <v>0</v>
      </c>
      <c r="F15" s="3">
        <v>0</v>
      </c>
      <c r="G15" s="3">
        <v>1</v>
      </c>
      <c r="I15" s="5" t="s">
        <v>294</v>
      </c>
    </row>
    <row r="16" spans="2:9" ht="14.4" x14ac:dyDescent="0.25">
      <c r="B16" s="542"/>
      <c r="C16" s="5" t="s">
        <v>295</v>
      </c>
      <c r="D16" s="414" t="s">
        <v>60</v>
      </c>
      <c r="E16" s="3">
        <v>1</v>
      </c>
      <c r="F16" s="3">
        <v>1</v>
      </c>
      <c r="G16" s="3">
        <v>1</v>
      </c>
      <c r="I16" s="5" t="s">
        <v>296</v>
      </c>
    </row>
    <row r="17" spans="2:19" ht="14.4" x14ac:dyDescent="0.25">
      <c r="B17" s="542"/>
      <c r="C17" s="5" t="s">
        <v>297</v>
      </c>
      <c r="D17" s="414" t="s">
        <v>298</v>
      </c>
      <c r="E17" s="3">
        <v>1</v>
      </c>
      <c r="F17" s="3">
        <v>1.5</v>
      </c>
      <c r="G17" s="3">
        <v>1.5</v>
      </c>
      <c r="I17" s="5" t="s">
        <v>299</v>
      </c>
    </row>
    <row r="18" spans="2:19" ht="14.4" x14ac:dyDescent="0.25">
      <c r="B18" s="542"/>
      <c r="C18" s="4" t="s">
        <v>300</v>
      </c>
      <c r="D18" s="414" t="s">
        <v>43</v>
      </c>
      <c r="E18" s="3">
        <v>0</v>
      </c>
      <c r="F18" s="3">
        <v>0</v>
      </c>
      <c r="G18" s="3">
        <v>1</v>
      </c>
      <c r="I18" s="2"/>
    </row>
    <row r="19" spans="2:19" ht="14.4" x14ac:dyDescent="0.25">
      <c r="B19" s="542"/>
      <c r="C19" s="5" t="s">
        <v>301</v>
      </c>
      <c r="D19" s="414" t="s">
        <v>99</v>
      </c>
      <c r="E19" s="3">
        <v>1</v>
      </c>
      <c r="F19" s="3">
        <v>1</v>
      </c>
      <c r="G19" s="3">
        <v>1</v>
      </c>
      <c r="I19" s="2"/>
    </row>
    <row r="20" spans="2:19" ht="14.4" x14ac:dyDescent="0.25">
      <c r="B20" s="542"/>
      <c r="C20" s="5" t="s">
        <v>302</v>
      </c>
      <c r="D20" s="414" t="s">
        <v>303</v>
      </c>
      <c r="E20" s="3">
        <v>1</v>
      </c>
      <c r="F20" s="3">
        <v>1.5</v>
      </c>
      <c r="G20" s="3">
        <v>1.5</v>
      </c>
    </row>
    <row r="21" spans="2:19" ht="14.4" x14ac:dyDescent="0.25">
      <c r="B21" s="542"/>
      <c r="C21" s="4" t="s">
        <v>304</v>
      </c>
      <c r="D21" s="414" t="s">
        <v>305</v>
      </c>
      <c r="E21" s="3">
        <v>1</v>
      </c>
      <c r="F21" s="3">
        <v>1</v>
      </c>
      <c r="G21" s="3">
        <v>1</v>
      </c>
    </row>
    <row r="22" spans="2:19" ht="14.4" x14ac:dyDescent="0.25">
      <c r="B22" s="542"/>
      <c r="C22" s="4" t="s">
        <v>306</v>
      </c>
      <c r="D22" s="414" t="s">
        <v>85</v>
      </c>
      <c r="E22" s="3">
        <v>0</v>
      </c>
      <c r="F22" s="3">
        <v>0</v>
      </c>
      <c r="G22" s="3">
        <v>1</v>
      </c>
    </row>
    <row r="23" spans="2:19" ht="14.4" x14ac:dyDescent="0.25">
      <c r="B23" s="542"/>
      <c r="C23" s="5" t="s">
        <v>307</v>
      </c>
      <c r="D23" s="414" t="s">
        <v>308</v>
      </c>
      <c r="E23" s="414">
        <v>1</v>
      </c>
      <c r="F23" s="3">
        <v>1</v>
      </c>
      <c r="G23" s="3">
        <v>1</v>
      </c>
    </row>
    <row r="24" spans="2:19" ht="14.4" x14ac:dyDescent="0.25">
      <c r="B24" s="542"/>
      <c r="C24" s="5" t="s">
        <v>309</v>
      </c>
      <c r="D24" s="5" t="s">
        <v>310</v>
      </c>
      <c r="E24" s="4">
        <v>1</v>
      </c>
      <c r="F24" s="3">
        <v>1.5</v>
      </c>
      <c r="G24" s="3">
        <v>1.5</v>
      </c>
    </row>
    <row r="25" spans="2:19" ht="14.4" x14ac:dyDescent="0.25">
      <c r="B25" s="542"/>
      <c r="C25" s="4" t="s">
        <v>311</v>
      </c>
      <c r="D25" s="5" t="s">
        <v>312</v>
      </c>
      <c r="E25" s="5">
        <v>0</v>
      </c>
      <c r="F25" s="3">
        <v>0</v>
      </c>
      <c r="G25" s="3">
        <v>1</v>
      </c>
    </row>
    <row r="26" spans="2:19" x14ac:dyDescent="0.25">
      <c r="B26" s="542"/>
      <c r="C26" s="5" t="s">
        <v>313</v>
      </c>
      <c r="D26" s="5" t="s">
        <v>314</v>
      </c>
      <c r="E26" s="5">
        <v>1</v>
      </c>
      <c r="F26" s="4">
        <v>1</v>
      </c>
      <c r="G26" s="4">
        <v>1</v>
      </c>
    </row>
    <row r="27" spans="2:19" x14ac:dyDescent="0.25">
      <c r="B27" s="542"/>
      <c r="C27" s="5" t="s">
        <v>315</v>
      </c>
      <c r="D27" s="5" t="s">
        <v>316</v>
      </c>
      <c r="E27" s="5">
        <v>1</v>
      </c>
      <c r="F27" s="4">
        <v>1.5</v>
      </c>
      <c r="G27" s="4">
        <v>1.5</v>
      </c>
    </row>
    <row r="31" spans="2:19" ht="13.8" x14ac:dyDescent="0.25">
      <c r="S31" s="118"/>
    </row>
    <row r="32" spans="2:19" ht="13.8" x14ac:dyDescent="0.25">
      <c r="S32" s="118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4140625" defaultRowHeight="13.2" outlineLevelRow="2" outlineLevelCol="1" x14ac:dyDescent="0.25"/>
  <cols>
    <col min="1" max="1" width="1.33203125" customWidth="1"/>
    <col min="2" max="2" width="5.6640625" customWidth="1"/>
    <col min="3" max="3" width="14.6640625" customWidth="1"/>
    <col min="4" max="4" width="16.4414062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77734375" customWidth="1"/>
    <col min="19" max="19" width="6.109375" customWidth="1"/>
    <col min="20" max="20" width="11.33203125" bestFit="1" customWidth="1"/>
    <col min="21" max="21" width="24.44140625" bestFit="1" customWidth="1"/>
  </cols>
  <sheetData>
    <row r="1" spans="1:22" ht="7.2" customHeight="1" thickBot="1" x14ac:dyDescent="0.3">
      <c r="A1" s="70"/>
      <c r="B1" s="70"/>
      <c r="C1" s="70"/>
      <c r="D1" s="70"/>
      <c r="E1" s="70"/>
      <c r="F1" s="70"/>
      <c r="G1" s="70"/>
      <c r="H1" s="107"/>
      <c r="I1" s="108"/>
      <c r="J1" s="109"/>
      <c r="K1" s="107"/>
      <c r="L1" s="107"/>
      <c r="M1" s="107"/>
      <c r="N1" s="107"/>
      <c r="O1" s="107"/>
      <c r="P1" s="107"/>
      <c r="Q1" s="66"/>
      <c r="R1" s="66"/>
      <c r="S1" s="70"/>
      <c r="T1" s="70"/>
      <c r="U1" s="70"/>
      <c r="V1" s="70"/>
    </row>
    <row r="2" spans="1:22" ht="28.2" customHeight="1" thickBot="1" x14ac:dyDescent="0.3">
      <c r="A2" s="70"/>
      <c r="B2" s="492" t="s">
        <v>158</v>
      </c>
      <c r="C2" s="493"/>
      <c r="D2" s="493"/>
      <c r="E2" s="493"/>
      <c r="F2" s="493"/>
      <c r="G2" s="493"/>
      <c r="H2" s="493"/>
      <c r="I2" s="493"/>
      <c r="J2" s="493"/>
      <c r="K2" s="494"/>
      <c r="L2" s="492" t="s">
        <v>159</v>
      </c>
      <c r="M2" s="493"/>
      <c r="N2" s="493"/>
      <c r="O2" s="493"/>
      <c r="P2" s="494"/>
      <c r="Q2" s="66"/>
      <c r="R2" s="66"/>
      <c r="S2" s="70"/>
      <c r="T2" s="70"/>
      <c r="U2" s="70"/>
      <c r="V2" s="70"/>
    </row>
    <row r="3" spans="1:22" ht="6.75" customHeight="1" x14ac:dyDescent="0.25">
      <c r="A3" s="7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66"/>
      <c r="R3" s="66"/>
      <c r="S3" s="70"/>
      <c r="T3" s="70"/>
      <c r="U3" s="70"/>
      <c r="V3" s="70"/>
    </row>
    <row r="4" spans="1:22" ht="5.25" customHeight="1" x14ac:dyDescent="0.25">
      <c r="A4" s="70"/>
      <c r="B4" s="70"/>
      <c r="C4" s="70"/>
      <c r="D4" s="70"/>
      <c r="E4" s="70"/>
      <c r="F4" s="107"/>
      <c r="G4" s="107"/>
      <c r="H4" s="107"/>
      <c r="I4" s="107"/>
      <c r="J4" s="109"/>
      <c r="K4" s="107"/>
      <c r="L4" s="107"/>
      <c r="M4" s="107"/>
      <c r="N4" s="107"/>
      <c r="O4" s="107"/>
      <c r="P4" s="107"/>
      <c r="Q4" s="66"/>
      <c r="R4" s="66"/>
      <c r="S4" s="70"/>
      <c r="T4" s="70"/>
      <c r="U4" s="70"/>
      <c r="V4" s="70"/>
    </row>
    <row r="5" spans="1:22" ht="22.2" customHeight="1" x14ac:dyDescent="0.25">
      <c r="A5" s="70"/>
      <c r="B5" s="70"/>
      <c r="C5" s="111" t="s">
        <v>107</v>
      </c>
      <c r="D5" s="530" t="str">
        <f>'Recettes et simulat'!D4</f>
        <v>Université Lumière Lyon 2</v>
      </c>
      <c r="E5" s="531"/>
      <c r="F5" s="70"/>
      <c r="G5" s="111" t="s">
        <v>109</v>
      </c>
      <c r="H5" s="530" t="str">
        <f>'Recettes et simulat'!H4</f>
        <v>Master</v>
      </c>
      <c r="I5" s="532"/>
      <c r="J5" s="532"/>
      <c r="K5" s="531"/>
      <c r="L5" s="107"/>
      <c r="M5" s="107"/>
      <c r="N5" s="107"/>
      <c r="O5" s="107"/>
      <c r="P5" s="107"/>
      <c r="Q5" s="66"/>
      <c r="R5" s="66"/>
      <c r="S5" s="70"/>
      <c r="T5" s="70"/>
      <c r="U5" s="74" t="s">
        <v>117</v>
      </c>
      <c r="V5" s="70"/>
    </row>
    <row r="6" spans="1:22" ht="22.2" customHeight="1" x14ac:dyDescent="0.25">
      <c r="A6" s="70"/>
      <c r="B6" s="70"/>
      <c r="C6" s="110" t="s">
        <v>111</v>
      </c>
      <c r="D6" s="530">
        <f>'Recettes et simulat'!D5</f>
        <v>34104</v>
      </c>
      <c r="E6" s="531"/>
      <c r="F6" s="70"/>
      <c r="G6" s="111" t="s">
        <v>160</v>
      </c>
      <c r="H6" s="530" t="str">
        <f>'Recettes et simulat'!H5</f>
        <v>Dévelppement de projets artistiques et culturels internationaux (DPACI)</v>
      </c>
      <c r="I6" s="532"/>
      <c r="J6" s="532"/>
      <c r="K6" s="531"/>
      <c r="L6" s="107"/>
      <c r="M6" s="107"/>
      <c r="N6" s="107"/>
      <c r="O6" s="107"/>
      <c r="P6" s="107"/>
      <c r="Q6" s="66"/>
      <c r="R6" s="66"/>
      <c r="S6" s="70"/>
      <c r="T6" s="70"/>
      <c r="U6" s="70"/>
      <c r="V6" s="70"/>
    </row>
    <row r="7" spans="1:22" ht="22.2" customHeight="1" x14ac:dyDescent="0.25">
      <c r="A7" s="70"/>
      <c r="B7" s="70"/>
      <c r="C7" s="112" t="s">
        <v>114</v>
      </c>
      <c r="D7" s="113"/>
      <c r="E7" s="114">
        <f>'Recettes et simulat'!E6</f>
        <v>25</v>
      </c>
      <c r="F7" s="70"/>
      <c r="G7" s="111" t="s">
        <v>115</v>
      </c>
      <c r="H7" s="530" t="str">
        <f>'Recettes et simulat'!H6</f>
        <v>ICOM - Institut de Communication</v>
      </c>
      <c r="I7" s="532"/>
      <c r="J7" s="532"/>
      <c r="K7" s="531"/>
      <c r="L7" s="107"/>
      <c r="M7" s="107"/>
      <c r="N7" s="107"/>
      <c r="O7" s="107"/>
      <c r="P7" s="107"/>
      <c r="Q7" s="66"/>
      <c r="R7" s="66"/>
      <c r="S7" s="70"/>
      <c r="T7" s="70"/>
      <c r="U7" s="70"/>
      <c r="V7" s="70"/>
    </row>
    <row r="8" spans="1:22" ht="22.2" customHeight="1" x14ac:dyDescent="0.25">
      <c r="A8" s="70"/>
      <c r="B8" s="70"/>
      <c r="C8" s="112" t="s">
        <v>118</v>
      </c>
      <c r="D8" s="113"/>
      <c r="E8" s="114">
        <f>'Recettes et simulat'!E7</f>
        <v>7</v>
      </c>
      <c r="F8" s="70"/>
      <c r="G8" s="75" t="s">
        <v>119</v>
      </c>
      <c r="H8" s="70"/>
      <c r="I8" s="70"/>
      <c r="J8" s="115">
        <f>'Recettes et simulat'!J7</f>
        <v>2022</v>
      </c>
      <c r="K8" s="115">
        <f>'Recettes et simulat'!K7</f>
        <v>2023</v>
      </c>
      <c r="L8" s="70"/>
      <c r="M8" s="70"/>
      <c r="N8" s="70"/>
      <c r="O8" s="70"/>
      <c r="P8" s="70"/>
      <c r="Q8" s="66"/>
      <c r="R8" s="66"/>
      <c r="S8" s="70"/>
      <c r="T8" s="70"/>
      <c r="U8" s="70"/>
      <c r="V8" s="70"/>
    </row>
    <row r="9" spans="1:22" ht="22.2" customHeight="1" x14ac:dyDescent="0.25">
      <c r="A9" s="70"/>
      <c r="B9" s="70"/>
      <c r="C9" s="70"/>
      <c r="D9" s="70"/>
      <c r="E9" s="70"/>
      <c r="F9" s="70"/>
      <c r="G9" s="116"/>
      <c r="H9" s="70"/>
      <c r="I9" s="70"/>
      <c r="J9" s="70"/>
      <c r="K9" s="70"/>
      <c r="L9" s="70"/>
      <c r="M9" s="70"/>
      <c r="N9" s="70"/>
      <c r="O9" s="70"/>
      <c r="P9" s="70"/>
      <c r="Q9" s="66"/>
      <c r="R9" s="66"/>
      <c r="S9" s="70"/>
      <c r="T9" s="70"/>
      <c r="U9" s="117"/>
      <c r="V9" s="117"/>
    </row>
    <row r="10" spans="1:22" s="118" customFormat="1" ht="16.95" customHeight="1" thickBot="1" x14ac:dyDescent="0.3">
      <c r="C10" s="119"/>
      <c r="D10" s="119"/>
      <c r="E10" s="119"/>
      <c r="F10" s="119"/>
      <c r="G10" s="120"/>
      <c r="H10" s="120"/>
      <c r="I10" s="121"/>
      <c r="Q10" s="66"/>
      <c r="R10" s="122"/>
      <c r="S10" s="70"/>
      <c r="T10" s="117"/>
      <c r="U10" s="66"/>
      <c r="V10" s="70"/>
    </row>
    <row r="11" spans="1:22" ht="24.45" customHeight="1" thickBot="1" x14ac:dyDescent="0.3">
      <c r="A11" s="70"/>
      <c r="B11" s="492" t="s">
        <v>161</v>
      </c>
      <c r="C11" s="493"/>
      <c r="D11" s="493"/>
      <c r="E11" s="493"/>
      <c r="F11" s="493"/>
      <c r="G11" s="493"/>
      <c r="H11" s="493"/>
      <c r="I11" s="493"/>
      <c r="J11" s="493"/>
      <c r="K11" s="494"/>
      <c r="L11" s="123"/>
      <c r="M11" s="124"/>
      <c r="N11" s="124"/>
      <c r="O11" s="124"/>
      <c r="P11" s="125"/>
      <c r="Q11" s="66"/>
      <c r="R11" s="66"/>
      <c r="S11" s="70"/>
      <c r="T11" s="66"/>
      <c r="U11" s="66"/>
      <c r="V11" s="66"/>
    </row>
    <row r="12" spans="1:22" s="66" customFormat="1" ht="12.45" customHeight="1" thickBot="1" x14ac:dyDescent="0.3">
      <c r="B12" s="126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8"/>
      <c r="V12" s="70"/>
    </row>
    <row r="13" spans="1:22" s="70" customFormat="1" ht="69.599999999999994" thickBot="1" x14ac:dyDescent="0.3">
      <c r="B13" s="129" t="s">
        <v>162</v>
      </c>
      <c r="C13" s="536" t="s">
        <v>163</v>
      </c>
      <c r="D13" s="537"/>
      <c r="E13" s="537"/>
      <c r="F13" s="538"/>
      <c r="G13" s="130" t="s">
        <v>164</v>
      </c>
      <c r="H13" s="131" t="s">
        <v>165</v>
      </c>
      <c r="I13" s="131" t="s">
        <v>166</v>
      </c>
      <c r="J13" s="132" t="s">
        <v>167</v>
      </c>
      <c r="K13" s="133" t="s">
        <v>168</v>
      </c>
      <c r="L13" s="134" t="s">
        <v>169</v>
      </c>
      <c r="M13" s="135" t="s">
        <v>170</v>
      </c>
      <c r="N13" s="135" t="s">
        <v>171</v>
      </c>
      <c r="O13" s="136" t="s">
        <v>172</v>
      </c>
      <c r="P13" s="137" t="s">
        <v>0</v>
      </c>
      <c r="Q13" s="138"/>
      <c r="R13" s="139"/>
      <c r="T13" s="66"/>
      <c r="U13" s="66"/>
      <c r="V13" s="118"/>
    </row>
    <row r="14" spans="1:22" s="118" customFormat="1" ht="21.45" customHeight="1" thickBot="1" x14ac:dyDescent="0.3">
      <c r="B14" s="140" t="s">
        <v>173</v>
      </c>
      <c r="C14" s="141"/>
      <c r="D14" s="142"/>
      <c r="E14" s="142"/>
      <c r="F14" s="142"/>
      <c r="G14" s="143">
        <f>G20+G27+G32</f>
        <v>478</v>
      </c>
      <c r="H14" s="144">
        <f>IF(G20+G27+G32=0,0,(I20+I27+I32)/(G20+G27+G32))</f>
        <v>42.324016736401681</v>
      </c>
      <c r="I14" s="145">
        <f>I20+I32+I27</f>
        <v>20230.880000000005</v>
      </c>
      <c r="J14" s="146">
        <f>J20+J32+J27</f>
        <v>14082.735999999999</v>
      </c>
      <c r="K14" s="147">
        <f>K20+K32+K27</f>
        <v>6148.1440000000002</v>
      </c>
      <c r="L14" s="148">
        <f>L20+L32+L27</f>
        <v>0</v>
      </c>
      <c r="M14" s="144">
        <f>M20+M32+M27</f>
        <v>0</v>
      </c>
      <c r="N14" s="145">
        <f t="shared" ref="N14:O14" si="0">N20+N32+N27</f>
        <v>0</v>
      </c>
      <c r="O14" s="144">
        <f t="shared" si="0"/>
        <v>0</v>
      </c>
      <c r="P14" s="147">
        <f>P20+P32+P27</f>
        <v>0</v>
      </c>
      <c r="Q14" s="149">
        <f>IF($K$72=0,0,K14/$K$72)</f>
        <v>0.13917700056593096</v>
      </c>
      <c r="R14" s="150" t="s">
        <v>174</v>
      </c>
      <c r="S14" s="70"/>
      <c r="T14" s="66"/>
      <c r="U14" s="66"/>
      <c r="V14" s="70"/>
    </row>
    <row r="15" spans="1:22" s="70" customFormat="1" ht="16.95" customHeight="1" outlineLevel="1" x14ac:dyDescent="0.25">
      <c r="B15" s="151" t="s">
        <v>175</v>
      </c>
      <c r="C15" s="152" t="s">
        <v>176</v>
      </c>
      <c r="D15" s="153"/>
      <c r="E15" s="153"/>
      <c r="F15" s="154"/>
      <c r="G15" s="155"/>
      <c r="H15" s="156"/>
      <c r="I15" s="155"/>
      <c r="J15" s="155"/>
      <c r="K15" s="157"/>
      <c r="L15" s="158"/>
      <c r="M15" s="156"/>
      <c r="N15" s="156"/>
      <c r="O15" s="156"/>
      <c r="P15" s="157"/>
      <c r="Q15" s="159"/>
      <c r="R15" s="160"/>
      <c r="S15" s="160"/>
      <c r="T15" s="160"/>
      <c r="U15" s="85"/>
      <c r="V15" s="118"/>
    </row>
    <row r="16" spans="1:22" s="118" customFormat="1" ht="16.95" customHeight="1" outlineLevel="1" x14ac:dyDescent="0.25">
      <c r="B16" s="161" t="s">
        <v>177</v>
      </c>
      <c r="C16" s="533" t="s">
        <v>23</v>
      </c>
      <c r="D16" s="534"/>
      <c r="E16" s="534"/>
      <c r="F16" s="535"/>
      <c r="G16" s="162">
        <f>'Budget détaillé'!G16</f>
        <v>180</v>
      </c>
      <c r="H16" s="163">
        <v>43.48</v>
      </c>
      <c r="I16" s="164">
        <f>H16*G16</f>
        <v>7826.4</v>
      </c>
      <c r="J16" s="164">
        <f>I16-K16</f>
        <v>5635.0079999999998</v>
      </c>
      <c r="K16" s="165">
        <f>IF($E$7=0,0,I16/$E$7*$E$8)</f>
        <v>2191.3919999999998</v>
      </c>
      <c r="L16" s="166"/>
      <c r="M16" s="76"/>
      <c r="N16" s="76"/>
      <c r="O16" s="76"/>
      <c r="P16" s="167">
        <f>SUM(L16:O16)</f>
        <v>0</v>
      </c>
      <c r="Q16" s="168">
        <f>IF($I16=0,0,$G16*$J16/$I16)</f>
        <v>129.6</v>
      </c>
      <c r="R16" s="168">
        <f>IF($I16=0,0,IF($P16=0,0,$G16*$J16/$I16*L16/$P16))</f>
        <v>0</v>
      </c>
      <c r="S16" s="168">
        <f t="shared" ref="S16:U19" si="1">IF($I16=0,0,IF($P16=0,0,$G16*$J16/$I16*M16/$P16))</f>
        <v>0</v>
      </c>
      <c r="T16" s="168">
        <f t="shared" si="1"/>
        <v>0</v>
      </c>
      <c r="U16" s="168">
        <f>IF($I16=0,0,IF($P16=0,0,$G16*$J16/$I16*O16/$P16))</f>
        <v>0</v>
      </c>
      <c r="V16" s="169">
        <f>G16-Q16</f>
        <v>50.400000000000006</v>
      </c>
    </row>
    <row r="17" spans="2:23" s="118" customFormat="1" ht="16.95" customHeight="1" outlineLevel="1" x14ac:dyDescent="0.25">
      <c r="B17" s="161" t="s">
        <v>178</v>
      </c>
      <c r="C17" s="533" t="s">
        <v>24</v>
      </c>
      <c r="D17" s="534"/>
      <c r="E17" s="534"/>
      <c r="F17" s="535"/>
      <c r="G17" s="162">
        <f>'Budget détaillé'!G17</f>
        <v>0</v>
      </c>
      <c r="H17" s="365">
        <f>ROUND(41.41*1.4319,2)</f>
        <v>59.29</v>
      </c>
      <c r="I17" s="170">
        <f>H17*G17</f>
        <v>0</v>
      </c>
      <c r="J17" s="164">
        <f t="shared" ref="J17:J19" si="2">I17-K17</f>
        <v>0</v>
      </c>
      <c r="K17" s="165">
        <f t="shared" ref="K17:K19" si="3">IF($E$7=0,0,I17/$E$7*$E$8)</f>
        <v>0</v>
      </c>
      <c r="L17" s="166"/>
      <c r="M17" s="76"/>
      <c r="N17" s="76"/>
      <c r="O17" s="76"/>
      <c r="P17" s="171">
        <f>SUM(L17:O17)</f>
        <v>0</v>
      </c>
      <c r="Q17" s="168">
        <f>IF($I17=0,0,$G17*$J17/$I17)</f>
        <v>0</v>
      </c>
      <c r="R17" s="168">
        <f t="shared" ref="R17:R19" si="4">IF($I17=0,0,IF($P17=0,0,$G17*$J17/$I17*L17/$P17))</f>
        <v>0</v>
      </c>
      <c r="S17" s="168">
        <f t="shared" si="1"/>
        <v>0</v>
      </c>
      <c r="T17" s="168">
        <f t="shared" si="1"/>
        <v>0</v>
      </c>
      <c r="U17" s="168">
        <f t="shared" si="1"/>
        <v>0</v>
      </c>
      <c r="V17" s="169">
        <f t="shared" ref="V17:V18" si="5">G17-Q17</f>
        <v>0</v>
      </c>
    </row>
    <row r="18" spans="2:23" s="118" customFormat="1" ht="16.95" customHeight="1" outlineLevel="1" x14ac:dyDescent="0.25">
      <c r="B18" s="161" t="s">
        <v>179</v>
      </c>
      <c r="C18" s="533" t="s">
        <v>180</v>
      </c>
      <c r="D18" s="534"/>
      <c r="E18" s="534"/>
      <c r="F18" s="535"/>
      <c r="G18" s="162">
        <f>'Budget détaillé'!G18</f>
        <v>175</v>
      </c>
      <c r="H18" s="163">
        <v>52</v>
      </c>
      <c r="I18" s="170">
        <f>H18*G18</f>
        <v>9100</v>
      </c>
      <c r="J18" s="164">
        <f t="shared" si="2"/>
        <v>6552</v>
      </c>
      <c r="K18" s="165">
        <f t="shared" si="3"/>
        <v>2548</v>
      </c>
      <c r="L18" s="166"/>
      <c r="M18" s="76"/>
      <c r="N18" s="76"/>
      <c r="O18" s="76"/>
      <c r="P18" s="171">
        <f>SUM(L18:O18)</f>
        <v>0</v>
      </c>
      <c r="Q18" s="168">
        <f>IF($I18=0,0,$G18*$J18/$I18)</f>
        <v>126</v>
      </c>
      <c r="R18" s="168">
        <f>IF($I18=0,0,IF($P18=0,0,$G18*$J18/$I18*L18/$P18))</f>
        <v>0</v>
      </c>
      <c r="S18" s="168">
        <f t="shared" si="1"/>
        <v>0</v>
      </c>
      <c r="T18" s="168">
        <f t="shared" si="1"/>
        <v>0</v>
      </c>
      <c r="U18" s="168">
        <f t="shared" si="1"/>
        <v>0</v>
      </c>
      <c r="V18" s="169">
        <f t="shared" si="5"/>
        <v>49</v>
      </c>
    </row>
    <row r="19" spans="2:23" s="118" customFormat="1" ht="18.45" customHeight="1" outlineLevel="1" x14ac:dyDescent="0.25">
      <c r="B19" s="161" t="s">
        <v>181</v>
      </c>
      <c r="C19" s="533" t="s">
        <v>182</v>
      </c>
      <c r="D19" s="534"/>
      <c r="E19" s="534"/>
      <c r="F19" s="535"/>
      <c r="G19" s="162">
        <f>'Budget détaillé'!G19</f>
        <v>0</v>
      </c>
      <c r="H19" s="172">
        <f>'Budget détaillé'!H19</f>
        <v>0</v>
      </c>
      <c r="I19" s="170">
        <f t="shared" ref="I19" si="6">H19*G19</f>
        <v>0</v>
      </c>
      <c r="J19" s="164">
        <f t="shared" si="2"/>
        <v>0</v>
      </c>
      <c r="K19" s="165">
        <f t="shared" si="3"/>
        <v>0</v>
      </c>
      <c r="L19" s="166"/>
      <c r="M19" s="166"/>
      <c r="N19" s="173"/>
      <c r="O19" s="76"/>
      <c r="P19" s="171">
        <f>SUM(L19:O19)</f>
        <v>0</v>
      </c>
      <c r="Q19" s="168">
        <f>IF($I19=0,0,$G19*$J19/$I19)</f>
        <v>0</v>
      </c>
      <c r="R19" s="168">
        <f t="shared" si="4"/>
        <v>0</v>
      </c>
      <c r="S19" s="168">
        <f>IF($I19=0,0,IF($P19=0,0,$G19*$J19/$I19*M19/$P19))</f>
        <v>0</v>
      </c>
      <c r="T19" s="168">
        <f t="shared" si="1"/>
        <v>0</v>
      </c>
      <c r="U19" s="168">
        <f t="shared" si="1"/>
        <v>0</v>
      </c>
      <c r="V19" s="169">
        <f>G19-Q19</f>
        <v>0</v>
      </c>
    </row>
    <row r="20" spans="2:23" s="118" customFormat="1" ht="22.2" customHeight="1" outlineLevel="1" thickBot="1" x14ac:dyDescent="0.3">
      <c r="B20" s="539" t="s">
        <v>183</v>
      </c>
      <c r="C20" s="540"/>
      <c r="D20" s="540"/>
      <c r="E20" s="540"/>
      <c r="F20" s="541"/>
      <c r="G20" s="174">
        <f>SUM(G16:G19)</f>
        <v>355</v>
      </c>
      <c r="H20" s="175">
        <f>IF(G20=0,0,I20/G20)</f>
        <v>47.680000000000007</v>
      </c>
      <c r="I20" s="176">
        <f>SUM(I16:I19)</f>
        <v>16926.400000000001</v>
      </c>
      <c r="J20" s="177">
        <f>SUM(J16:J19)</f>
        <v>12187.008</v>
      </c>
      <c r="K20" s="178">
        <f>SUM(K16:K19)</f>
        <v>4739.3919999999998</v>
      </c>
      <c r="L20" s="179">
        <f>SUM(L16:L19)</f>
        <v>0</v>
      </c>
      <c r="M20" s="176">
        <f>SUM(M16:M19)</f>
        <v>0</v>
      </c>
      <c r="N20" s="176">
        <f t="shared" ref="N20:P20" si="7">SUM(N16:N19)</f>
        <v>0</v>
      </c>
      <c r="O20" s="176">
        <f t="shared" si="7"/>
        <v>0</v>
      </c>
      <c r="P20" s="178">
        <f t="shared" si="7"/>
        <v>0</v>
      </c>
      <c r="Q20" s="149">
        <f>IF($K$72=0,0,K20/$K$72)</f>
        <v>0.10728674589700056</v>
      </c>
      <c r="R20" s="150" t="s">
        <v>174</v>
      </c>
      <c r="S20" s="70"/>
      <c r="T20" s="66"/>
      <c r="U20" s="66"/>
      <c r="V20" s="70"/>
    </row>
    <row r="21" spans="2:23" s="70" customFormat="1" ht="16.95" customHeight="1" outlineLevel="1" x14ac:dyDescent="0.25">
      <c r="B21" s="151" t="s">
        <v>184</v>
      </c>
      <c r="C21" s="152" t="s">
        <v>185</v>
      </c>
      <c r="D21" s="153"/>
      <c r="E21" s="153"/>
      <c r="F21" s="154"/>
      <c r="G21" s="155"/>
      <c r="H21" s="156"/>
      <c r="I21" s="155"/>
      <c r="J21" s="155"/>
      <c r="K21" s="157"/>
      <c r="L21" s="158"/>
      <c r="M21" s="156"/>
      <c r="N21" s="156"/>
      <c r="O21" s="156"/>
      <c r="P21" s="157"/>
      <c r="Q21" s="180"/>
      <c r="R21" s="66"/>
      <c r="S21" s="66"/>
      <c r="T21" s="66"/>
      <c r="U21" s="118"/>
      <c r="V21" s="118"/>
    </row>
    <row r="22" spans="2:23" s="118" customFormat="1" ht="16.95" customHeight="1" outlineLevel="1" x14ac:dyDescent="0.25">
      <c r="B22" s="161" t="s">
        <v>186</v>
      </c>
      <c r="C22" s="410" t="s">
        <v>187</v>
      </c>
      <c r="D22" s="412"/>
      <c r="E22" s="412"/>
      <c r="F22" s="413"/>
      <c r="G22" s="162">
        <f>'Budget détaillé'!G22</f>
        <v>20</v>
      </c>
      <c r="H22" s="163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4">
        <f>H22*G22</f>
        <v>0</v>
      </c>
      <c r="J22" s="170">
        <f>I22-K22</f>
        <v>0</v>
      </c>
      <c r="K22" s="165">
        <f t="shared" ref="K22" si="8">IF($E$7=0,0,I22/$E$7*$E$8)</f>
        <v>0</v>
      </c>
      <c r="L22" s="166"/>
      <c r="M22" s="173"/>
      <c r="N22" s="173"/>
      <c r="O22" s="76"/>
      <c r="P22" s="167">
        <f>SUM(L22:O22)</f>
        <v>0</v>
      </c>
      <c r="Q22" s="168">
        <f>IF($I22=0,0,$G22*$J22/$I22)</f>
        <v>0</v>
      </c>
      <c r="R22" s="168">
        <f t="shared" ref="R22:T26" si="9">IF($I22=0,0,IF($P22=0,0,$G22*$J22/$I22*L22/$P22))</f>
        <v>0</v>
      </c>
      <c r="S22" s="168">
        <f t="shared" si="9"/>
        <v>0</v>
      </c>
      <c r="T22" s="168">
        <f>IF($I22=0,0,IF($P22=0,0,$G22*$J22/$I22*N22/$P22))</f>
        <v>0</v>
      </c>
      <c r="U22" s="168">
        <f t="shared" ref="U22:U26" si="10">IF($I22=0,0,IF($P22=0,0,$G22*$J22/$I22*O22/$P22))</f>
        <v>0</v>
      </c>
      <c r="V22" s="168">
        <f t="shared" ref="V22:V30" si="11">G22-Q22</f>
        <v>20</v>
      </c>
      <c r="W22" s="85"/>
    </row>
    <row r="23" spans="2:23" s="118" customFormat="1" ht="16.95" customHeight="1" outlineLevel="1" x14ac:dyDescent="0.25">
      <c r="B23" s="161" t="s">
        <v>188</v>
      </c>
      <c r="C23" s="533" t="s">
        <v>189</v>
      </c>
      <c r="D23" s="534"/>
      <c r="E23" s="534"/>
      <c r="F23" s="535"/>
      <c r="G23" s="162">
        <f>'Budget détaillé'!G23</f>
        <v>25</v>
      </c>
      <c r="H23" s="163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4">
        <f>H23*G23</f>
        <v>0</v>
      </c>
      <c r="J23" s="164">
        <f>I23-K23</f>
        <v>0</v>
      </c>
      <c r="K23" s="165">
        <f>IF($E$7=0,0,I23/$E$7*$E$8)</f>
        <v>0</v>
      </c>
      <c r="L23" s="76"/>
      <c r="M23" s="76"/>
      <c r="N23" s="76"/>
      <c r="O23" s="76"/>
      <c r="P23" s="171">
        <f>SUM(L23:O23)</f>
        <v>0</v>
      </c>
      <c r="Q23" s="168">
        <f>IF($I23=0,0,$G23*$J23/$I23)</f>
        <v>0</v>
      </c>
      <c r="R23" s="168">
        <f t="shared" si="9"/>
        <v>0</v>
      </c>
      <c r="S23" s="168">
        <f t="shared" si="9"/>
        <v>0</v>
      </c>
      <c r="T23" s="168">
        <f t="shared" si="9"/>
        <v>0</v>
      </c>
      <c r="U23" s="168">
        <f t="shared" si="10"/>
        <v>0</v>
      </c>
      <c r="V23" s="168">
        <f t="shared" si="11"/>
        <v>25</v>
      </c>
      <c r="W23" s="85"/>
    </row>
    <row r="24" spans="2:23" s="118" customFormat="1" ht="16.95" customHeight="1" outlineLevel="1" x14ac:dyDescent="0.25">
      <c r="B24" s="161" t="s">
        <v>190</v>
      </c>
      <c r="C24" s="533" t="s">
        <v>191</v>
      </c>
      <c r="D24" s="534"/>
      <c r="E24" s="534"/>
      <c r="F24" s="535"/>
      <c r="G24" s="162">
        <f>'Budget détaillé'!G24</f>
        <v>24</v>
      </c>
      <c r="H24" s="163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39.856666666666662</v>
      </c>
      <c r="I24" s="164">
        <f>H24*G24</f>
        <v>956.56</v>
      </c>
      <c r="J24" s="170">
        <f>I24</f>
        <v>956.56</v>
      </c>
      <c r="K24" s="165">
        <v>0</v>
      </c>
      <c r="L24" s="166"/>
      <c r="M24" s="76"/>
      <c r="N24" s="76"/>
      <c r="O24" s="76"/>
      <c r="P24" s="171">
        <f>SUM(L24:O24)</f>
        <v>0</v>
      </c>
      <c r="Q24" s="168">
        <f>IF($I24=0,0,$G24*$J24/$I24)</f>
        <v>24</v>
      </c>
      <c r="R24" s="168">
        <f t="shared" si="9"/>
        <v>0</v>
      </c>
      <c r="S24" s="168">
        <f t="shared" si="9"/>
        <v>0</v>
      </c>
      <c r="T24" s="168">
        <f t="shared" si="9"/>
        <v>0</v>
      </c>
      <c r="U24" s="168">
        <f t="shared" si="10"/>
        <v>0</v>
      </c>
      <c r="V24" s="168">
        <f t="shared" si="11"/>
        <v>0</v>
      </c>
      <c r="W24" s="85"/>
    </row>
    <row r="25" spans="2:23" s="118" customFormat="1" ht="16.95" customHeight="1" outlineLevel="1" x14ac:dyDescent="0.25">
      <c r="B25" s="161" t="s">
        <v>192</v>
      </c>
      <c r="C25" s="533" t="s">
        <v>193</v>
      </c>
      <c r="D25" s="534"/>
      <c r="E25" s="534"/>
      <c r="F25" s="535"/>
      <c r="G25" s="162">
        <f>'Budget détaillé'!G25</f>
        <v>24</v>
      </c>
      <c r="H25" s="163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43.48</v>
      </c>
      <c r="I25" s="164">
        <f>H25*G25</f>
        <v>1043.52</v>
      </c>
      <c r="J25" s="164">
        <f>I25-K25</f>
        <v>0</v>
      </c>
      <c r="K25" s="165">
        <f>I25</f>
        <v>1043.52</v>
      </c>
      <c r="L25" s="166"/>
      <c r="M25" s="173"/>
      <c r="N25" s="173"/>
      <c r="O25" s="76"/>
      <c r="P25" s="171">
        <f>SUM(L25:O25)</f>
        <v>0</v>
      </c>
      <c r="Q25" s="168">
        <f>IF($I25=0,0,$G25*$J25/$I25)</f>
        <v>0</v>
      </c>
      <c r="R25" s="168">
        <f t="shared" si="9"/>
        <v>0</v>
      </c>
      <c r="S25" s="168">
        <f t="shared" si="9"/>
        <v>0</v>
      </c>
      <c r="T25" s="168">
        <f t="shared" si="9"/>
        <v>0</v>
      </c>
      <c r="U25" s="168">
        <f t="shared" si="10"/>
        <v>0</v>
      </c>
      <c r="V25" s="168">
        <f t="shared" si="11"/>
        <v>24</v>
      </c>
      <c r="W25" s="85"/>
    </row>
    <row r="26" spans="2:23" s="118" customFormat="1" ht="16.95" customHeight="1" outlineLevel="1" x14ac:dyDescent="0.25">
      <c r="B26" s="161" t="s">
        <v>194</v>
      </c>
      <c r="C26" s="533" t="s">
        <v>195</v>
      </c>
      <c r="D26" s="534"/>
      <c r="E26" s="534"/>
      <c r="F26" s="535"/>
      <c r="G26" s="162">
        <f>'Budget détaillé'!G26</f>
        <v>0</v>
      </c>
      <c r="H26" s="163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4">
        <f>H26*G26</f>
        <v>0</v>
      </c>
      <c r="J26" s="164">
        <f>I26-K26</f>
        <v>0</v>
      </c>
      <c r="K26" s="165">
        <f t="shared" ref="K26" si="12">IF($E$7=0,0,I26/$E$7*$E$8)</f>
        <v>0</v>
      </c>
      <c r="L26" s="76"/>
      <c r="M26" s="76"/>
      <c r="N26" s="76"/>
      <c r="O26" s="76"/>
      <c r="P26" s="171">
        <f>SUM(L26:O26)</f>
        <v>0</v>
      </c>
      <c r="Q26" s="168">
        <f>IF($I26=0,0,$G26*$J26/$I26)</f>
        <v>0</v>
      </c>
      <c r="R26" s="168">
        <f t="shared" si="9"/>
        <v>0</v>
      </c>
      <c r="S26" s="168">
        <f t="shared" si="9"/>
        <v>0</v>
      </c>
      <c r="T26" s="168">
        <f t="shared" si="9"/>
        <v>0</v>
      </c>
      <c r="U26" s="168">
        <f t="shared" si="10"/>
        <v>0</v>
      </c>
      <c r="V26" s="168">
        <f t="shared" si="11"/>
        <v>0</v>
      </c>
      <c r="W26" s="85"/>
    </row>
    <row r="27" spans="2:23" s="118" customFormat="1" ht="21.45" customHeight="1" outlineLevel="1" thickBot="1" x14ac:dyDescent="0.3">
      <c r="B27" s="539" t="s">
        <v>196</v>
      </c>
      <c r="C27" s="540"/>
      <c r="D27" s="540"/>
      <c r="E27" s="540"/>
      <c r="F27" s="541"/>
      <c r="G27" s="174">
        <f>SUM(G22:G26)</f>
        <v>93</v>
      </c>
      <c r="H27" s="175">
        <f>IF(G27=0,0,I27/G27)</f>
        <v>21.506236559139783</v>
      </c>
      <c r="I27" s="175">
        <f>SUM(I22:I26)</f>
        <v>2000.08</v>
      </c>
      <c r="J27" s="175">
        <f t="shared" ref="J27:K27" si="13">SUM(J22:J26)</f>
        <v>956.56</v>
      </c>
      <c r="K27" s="175">
        <f t="shared" si="13"/>
        <v>1043.52</v>
      </c>
      <c r="L27" s="181">
        <f>SUM(L22:L26)</f>
        <v>0</v>
      </c>
      <c r="M27" s="182">
        <f>SUM(M22:M26)</f>
        <v>0</v>
      </c>
      <c r="N27" s="183">
        <f t="shared" ref="N27:O27" si="14">SUM(N22:N26)</f>
        <v>0</v>
      </c>
      <c r="O27" s="176">
        <f t="shared" si="14"/>
        <v>0</v>
      </c>
      <c r="P27" s="178">
        <f t="shared" ref="P27" si="15">SUM(P22:P25)</f>
        <v>0</v>
      </c>
      <c r="Q27" s="149">
        <f>IF($K$72=0,0,K27/$K$72)</f>
        <v>2.3622410865874362E-2</v>
      </c>
      <c r="R27" s="150" t="s">
        <v>174</v>
      </c>
      <c r="S27" s="70"/>
      <c r="T27" s="117"/>
    </row>
    <row r="28" spans="2:23" s="118" customFormat="1" ht="16.95" customHeight="1" outlineLevel="1" x14ac:dyDescent="0.25">
      <c r="B28" s="184" t="s">
        <v>197</v>
      </c>
      <c r="C28" s="185" t="s">
        <v>198</v>
      </c>
      <c r="D28" s="116"/>
      <c r="E28" s="116"/>
      <c r="F28" s="186"/>
      <c r="G28" s="187"/>
      <c r="H28" s="188"/>
      <c r="I28" s="187"/>
      <c r="J28" s="187"/>
      <c r="K28" s="189"/>
      <c r="L28" s="190"/>
      <c r="M28" s="191"/>
      <c r="N28" s="191"/>
      <c r="O28" s="191"/>
      <c r="P28" s="192"/>
      <c r="Q28" s="159"/>
      <c r="R28" s="193">
        <f t="shared" ref="R28:U31" si="16">IF($I28=0,0,IF($P28=0,0,$G28*$J28/$I28*L28/$P28))</f>
        <v>0</v>
      </c>
      <c r="S28" s="193">
        <f t="shared" si="16"/>
        <v>0</v>
      </c>
      <c r="T28" s="193">
        <f t="shared" si="16"/>
        <v>0</v>
      </c>
      <c r="U28" s="194">
        <f t="shared" si="16"/>
        <v>0</v>
      </c>
      <c r="V28" s="195"/>
    </row>
    <row r="29" spans="2:23" s="118" customFormat="1" ht="16.95" customHeight="1" outlineLevel="1" x14ac:dyDescent="0.25">
      <c r="B29" s="161" t="s">
        <v>199</v>
      </c>
      <c r="C29" s="533" t="s">
        <v>200</v>
      </c>
      <c r="D29" s="534"/>
      <c r="E29" s="534"/>
      <c r="F29" s="535"/>
      <c r="G29" s="76">
        <f>'Budget détaillé'!G29</f>
        <v>30</v>
      </c>
      <c r="H29" s="163">
        <f>+H16</f>
        <v>43.48</v>
      </c>
      <c r="I29" s="196">
        <f>H29*G29</f>
        <v>1304.3999999999999</v>
      </c>
      <c r="J29" s="164">
        <f t="shared" ref="J29:J31" si="17">I29-K29</f>
        <v>939.16799999999989</v>
      </c>
      <c r="K29" s="165">
        <f t="shared" ref="K29:K31" si="18">IF($E$7=0,0,I29/$E$7*$E$8)</f>
        <v>365.23199999999997</v>
      </c>
      <c r="L29" s="197"/>
      <c r="M29" s="76"/>
      <c r="N29" s="76"/>
      <c r="O29" s="76"/>
      <c r="P29" s="171">
        <f>SUM(L29:O29)</f>
        <v>0</v>
      </c>
      <c r="Q29" s="168">
        <f>IF($I29=0,0,$G29*$J29/$I29)</f>
        <v>21.6</v>
      </c>
      <c r="R29" s="168">
        <f t="shared" si="16"/>
        <v>0</v>
      </c>
      <c r="S29" s="168">
        <f t="shared" si="16"/>
        <v>0</v>
      </c>
      <c r="T29" s="168">
        <f t="shared" si="16"/>
        <v>0</v>
      </c>
      <c r="U29" s="168">
        <f>IF($I29=0,0,IF($P29=0,0,$G29*$J29/$I29*O29/$P29))</f>
        <v>0</v>
      </c>
      <c r="V29" s="169">
        <f t="shared" si="11"/>
        <v>8.3999999999999986</v>
      </c>
      <c r="W29" s="198"/>
    </row>
    <row r="30" spans="2:23" s="118" customFormat="1" ht="16.95" customHeight="1" outlineLevel="1" x14ac:dyDescent="0.25">
      <c r="B30" s="161" t="s">
        <v>201</v>
      </c>
      <c r="C30" s="533" t="s">
        <v>202</v>
      </c>
      <c r="D30" s="534"/>
      <c r="E30" s="534"/>
      <c r="F30" s="535"/>
      <c r="G30" s="76">
        <f>'Budget détaillé'!G30</f>
        <v>0</v>
      </c>
      <c r="H30" s="163">
        <f>$H$20</f>
        <v>47.680000000000007</v>
      </c>
      <c r="I30" s="196">
        <f>H30*G30</f>
        <v>0</v>
      </c>
      <c r="J30" s="164">
        <f t="shared" si="17"/>
        <v>0</v>
      </c>
      <c r="K30" s="165">
        <f>I30</f>
        <v>0</v>
      </c>
      <c r="L30" s="197"/>
      <c r="M30" s="166"/>
      <c r="N30" s="76"/>
      <c r="O30" s="76"/>
      <c r="P30" s="171">
        <f>SUM(L30:O30)</f>
        <v>0</v>
      </c>
      <c r="Q30" s="168">
        <f t="shared" ref="Q30:Q31" si="19">IF($I30=0,0,$G30*$J30/$I30)</f>
        <v>0</v>
      </c>
      <c r="R30" s="168">
        <f t="shared" si="16"/>
        <v>0</v>
      </c>
      <c r="S30" s="168">
        <f t="shared" si="16"/>
        <v>0</v>
      </c>
      <c r="T30" s="168">
        <f t="shared" si="16"/>
        <v>0</v>
      </c>
      <c r="U30" s="168">
        <f t="shared" si="16"/>
        <v>0</v>
      </c>
      <c r="V30" s="169">
        <f t="shared" si="11"/>
        <v>0</v>
      </c>
      <c r="W30" s="198"/>
    </row>
    <row r="31" spans="2:23" s="118" customFormat="1" ht="16.95" customHeight="1" outlineLevel="1" x14ac:dyDescent="0.25">
      <c r="B31" s="161" t="s">
        <v>203</v>
      </c>
      <c r="C31" s="411" t="s">
        <v>26</v>
      </c>
      <c r="D31" s="412"/>
      <c r="E31" s="412"/>
      <c r="F31" s="413"/>
      <c r="G31" s="76">
        <f>'Budget détaillé'!G31</f>
        <v>0</v>
      </c>
      <c r="H31" s="163">
        <f>$H$20</f>
        <v>47.680000000000007</v>
      </c>
      <c r="I31" s="200">
        <f>H31*G31</f>
        <v>0</v>
      </c>
      <c r="J31" s="164">
        <f t="shared" si="17"/>
        <v>0</v>
      </c>
      <c r="K31" s="165">
        <f t="shared" si="18"/>
        <v>0</v>
      </c>
      <c r="L31" s="201"/>
      <c r="M31" s="76"/>
      <c r="N31" s="76"/>
      <c r="O31" s="76"/>
      <c r="P31" s="171">
        <f>SUM(L31:O31)</f>
        <v>0</v>
      </c>
      <c r="Q31" s="168">
        <f t="shared" si="19"/>
        <v>0</v>
      </c>
      <c r="R31" s="168">
        <f t="shared" si="16"/>
        <v>0</v>
      </c>
      <c r="S31" s="168">
        <f t="shared" si="16"/>
        <v>0</v>
      </c>
      <c r="T31" s="168">
        <f t="shared" si="16"/>
        <v>0</v>
      </c>
      <c r="U31" s="168">
        <f t="shared" si="16"/>
        <v>0</v>
      </c>
      <c r="V31" s="169">
        <f>G31-Q31</f>
        <v>0</v>
      </c>
      <c r="W31" s="198"/>
    </row>
    <row r="32" spans="2:23" s="118" customFormat="1" ht="21" customHeight="1" outlineLevel="1" thickBot="1" x14ac:dyDescent="0.3">
      <c r="B32" s="545" t="s">
        <v>204</v>
      </c>
      <c r="C32" s="546"/>
      <c r="D32" s="546"/>
      <c r="E32" s="546"/>
      <c r="F32" s="547"/>
      <c r="G32" s="202">
        <f>SUM(G29:G31)</f>
        <v>30</v>
      </c>
      <c r="H32" s="203">
        <f>IF(G32=0,0,I32/G32)</f>
        <v>43.48</v>
      </c>
      <c r="I32" s="203">
        <f>SUM(I29:I31)</f>
        <v>1304.3999999999999</v>
      </c>
      <c r="J32" s="203">
        <f>SUM(J29:J31)</f>
        <v>939.16799999999989</v>
      </c>
      <c r="K32" s="204">
        <f>SUM(K29:K31)</f>
        <v>365.23199999999997</v>
      </c>
      <c r="L32" s="179">
        <f t="shared" ref="L32:M32" si="20">SUM(L29:L31)</f>
        <v>0</v>
      </c>
      <c r="M32" s="176">
        <f t="shared" si="20"/>
        <v>0</v>
      </c>
      <c r="N32" s="176">
        <f>SUM(N29:N31)</f>
        <v>0</v>
      </c>
      <c r="O32" s="176">
        <f>SUM(O29:O31)</f>
        <v>0</v>
      </c>
      <c r="P32" s="178">
        <f t="shared" ref="P32" si="21">SUM(P28:P31)</f>
        <v>0</v>
      </c>
      <c r="Q32" s="149">
        <f>IF($K$72=0,0,K32/$K$72)</f>
        <v>8.2678438030560266E-3</v>
      </c>
      <c r="R32" s="150" t="s">
        <v>174</v>
      </c>
      <c r="S32" s="70"/>
      <c r="T32" s="117"/>
      <c r="U32" s="67"/>
    </row>
    <row r="33" spans="2:22" s="118" customFormat="1" ht="21" customHeight="1" outlineLevel="1" x14ac:dyDescent="0.25">
      <c r="B33" s="205"/>
      <c r="C33" s="206"/>
      <c r="D33" s="207"/>
      <c r="E33" s="208"/>
      <c r="F33" s="208"/>
      <c r="G33" s="208"/>
      <c r="H33" s="209" t="s">
        <v>205</v>
      </c>
      <c r="I33" s="210">
        <f>K33+J33</f>
        <v>478.00000000000006</v>
      </c>
      <c r="J33" s="210">
        <f>SUM(Q16:Q19)+SUM(Q22:Q26)+SUM(Q29:Q31)</f>
        <v>301.20000000000005</v>
      </c>
      <c r="K33" s="211">
        <f>SUM(V16:V19)+SUM(V22:V26)+SUM(V29:V31)</f>
        <v>176.8</v>
      </c>
      <c r="L33" s="212"/>
      <c r="M33" s="212"/>
      <c r="N33" s="212"/>
      <c r="O33" s="212"/>
      <c r="P33" s="212"/>
      <c r="Q33" s="213"/>
      <c r="R33" s="213"/>
      <c r="S33" s="214"/>
      <c r="T33" s="215"/>
      <c r="U33" s="117"/>
      <c r="V33" s="216"/>
    </row>
    <row r="34" spans="2:22" s="118" customFormat="1" ht="21" customHeight="1" outlineLevel="1" thickBot="1" x14ac:dyDescent="0.3">
      <c r="B34" s="217"/>
      <c r="C34" s="218"/>
      <c r="D34" s="219"/>
      <c r="E34" s="220"/>
      <c r="F34" s="220"/>
      <c r="G34" s="220"/>
      <c r="H34" s="221" t="s">
        <v>206</v>
      </c>
      <c r="I34" s="222">
        <f>IF($E$7=0,0,(I32+I20+I27)/$E$7)</f>
        <v>809.23520000000019</v>
      </c>
      <c r="J34" s="223">
        <f>IF($E$7-$E$8=0,0,(J32+J20+J27)/($E$7-$E$8))</f>
        <v>782.37422222222222</v>
      </c>
      <c r="K34" s="224">
        <f>IF($E$8=0,0,(K32+K20+K27)/$E$8)</f>
        <v>878.30628571428576</v>
      </c>
      <c r="L34" s="212"/>
      <c r="M34" s="212"/>
      <c r="N34" s="212"/>
      <c r="O34" s="212"/>
      <c r="P34" s="212"/>
      <c r="Q34" s="213"/>
      <c r="R34" s="213"/>
      <c r="S34" s="214"/>
      <c r="T34" s="215"/>
      <c r="U34" s="117"/>
      <c r="V34" s="216"/>
    </row>
    <row r="35" spans="2:22" s="70" customFormat="1" ht="22.2" customHeight="1" thickBot="1" x14ac:dyDescent="0.3">
      <c r="B35" s="225" t="s">
        <v>207</v>
      </c>
      <c r="C35" s="226"/>
      <c r="D35" s="227"/>
      <c r="E35" s="227"/>
      <c r="F35" s="227"/>
      <c r="G35" s="227"/>
      <c r="H35" s="228"/>
      <c r="I35" s="229">
        <f t="shared" ref="I35:P35" si="22">SUM(I36:I44)</f>
        <v>5800</v>
      </c>
      <c r="J35" s="230">
        <f t="shared" si="22"/>
        <v>3096</v>
      </c>
      <c r="K35" s="231">
        <f t="shared" si="22"/>
        <v>2704</v>
      </c>
      <c r="L35" s="148">
        <f t="shared" si="22"/>
        <v>0</v>
      </c>
      <c r="M35" s="144">
        <f t="shared" si="22"/>
        <v>0</v>
      </c>
      <c r="N35" s="145">
        <f t="shared" si="22"/>
        <v>0</v>
      </c>
      <c r="O35" s="144">
        <f t="shared" si="22"/>
        <v>0</v>
      </c>
      <c r="P35" s="232">
        <f t="shared" si="22"/>
        <v>0</v>
      </c>
      <c r="Q35" s="149">
        <f>IF($K$72=0,0,K35/$K$72)</f>
        <v>6.1211092246745896E-2</v>
      </c>
      <c r="R35" s="150" t="s">
        <v>174</v>
      </c>
      <c r="U35" s="118"/>
      <c r="V35" s="118"/>
    </row>
    <row r="36" spans="2:22" s="118" customFormat="1" ht="16.95" customHeight="1" outlineLevel="1" x14ac:dyDescent="0.25">
      <c r="B36" s="233" t="s">
        <v>208</v>
      </c>
      <c r="C36" s="234" t="s">
        <v>209</v>
      </c>
      <c r="D36" s="235"/>
      <c r="E36" s="235"/>
      <c r="F36" s="235"/>
      <c r="G36" s="235"/>
      <c r="H36" s="235"/>
      <c r="I36" s="236">
        <f>'Budget détaillé'!I36</f>
        <v>0</v>
      </c>
      <c r="J36" s="237">
        <f>'Budget détaillé'!J36</f>
        <v>0</v>
      </c>
      <c r="K36" s="238">
        <f>'Budget détaillé'!K36</f>
        <v>0</v>
      </c>
      <c r="L36" s="239"/>
      <c r="M36" s="240"/>
      <c r="N36" s="241"/>
      <c r="O36" s="240"/>
      <c r="P36" s="242">
        <f>SUM(L36:O36)</f>
        <v>0</v>
      </c>
      <c r="Q36" s="243"/>
      <c r="R36" s="244"/>
      <c r="S36" s="70"/>
    </row>
    <row r="37" spans="2:22" s="118" customFormat="1" ht="16.95" customHeight="1" outlineLevel="1" x14ac:dyDescent="0.25">
      <c r="B37" s="94" t="s">
        <v>210</v>
      </c>
      <c r="C37" s="245" t="s">
        <v>211</v>
      </c>
      <c r="D37" s="246"/>
      <c r="E37" s="246"/>
      <c r="F37" s="246"/>
      <c r="G37" s="246"/>
      <c r="H37" s="246"/>
      <c r="I37" s="247">
        <f>'Budget détaillé'!I37</f>
        <v>0</v>
      </c>
      <c r="J37" s="163">
        <f>'Budget détaillé'!J37</f>
        <v>0</v>
      </c>
      <c r="K37" s="248">
        <f>'Budget détaillé'!K37</f>
        <v>0</v>
      </c>
      <c r="L37" s="197"/>
      <c r="M37" s="166"/>
      <c r="N37" s="249"/>
      <c r="O37" s="166"/>
      <c r="P37" s="171">
        <f>SUM(L37:O37)</f>
        <v>0</v>
      </c>
      <c r="Q37" s="243"/>
      <c r="R37" s="244"/>
      <c r="S37" s="70"/>
    </row>
    <row r="38" spans="2:22" s="118" customFormat="1" ht="16.95" customHeight="1" outlineLevel="1" x14ac:dyDescent="0.25">
      <c r="B38" s="94" t="s">
        <v>212</v>
      </c>
      <c r="C38" s="245" t="s">
        <v>213</v>
      </c>
      <c r="D38" s="246"/>
      <c r="E38" s="246"/>
      <c r="F38" s="246"/>
      <c r="G38" s="246"/>
      <c r="H38" s="246"/>
      <c r="I38" s="247">
        <f>'Budget détaillé'!I38</f>
        <v>2000</v>
      </c>
      <c r="J38" s="163">
        <f>'Budget détaillé'!J38</f>
        <v>1440</v>
      </c>
      <c r="K38" s="248">
        <f>'Budget détaillé'!K38</f>
        <v>560</v>
      </c>
      <c r="L38" s="197"/>
      <c r="M38" s="166"/>
      <c r="N38" s="249"/>
      <c r="O38" s="166"/>
      <c r="P38" s="171">
        <f t="shared" ref="P38:P44" si="23">SUM(L38:O38)</f>
        <v>0</v>
      </c>
      <c r="Q38" s="243"/>
      <c r="R38" s="244"/>
      <c r="S38" s="70"/>
    </row>
    <row r="39" spans="2:22" s="118" customFormat="1" ht="16.95" customHeight="1" outlineLevel="1" x14ac:dyDescent="0.25">
      <c r="B39" s="94" t="s">
        <v>214</v>
      </c>
      <c r="C39" s="245" t="s">
        <v>215</v>
      </c>
      <c r="D39" s="246"/>
      <c r="E39" s="246"/>
      <c r="F39" s="246"/>
      <c r="G39" s="246"/>
      <c r="H39" s="246"/>
      <c r="I39" s="247">
        <f>'Budget détaillé'!I39</f>
        <v>800</v>
      </c>
      <c r="J39" s="163">
        <f>'Budget détaillé'!J39</f>
        <v>576</v>
      </c>
      <c r="K39" s="248">
        <f>'Budget détaillé'!K39</f>
        <v>224</v>
      </c>
      <c r="L39" s="197"/>
      <c r="M39" s="166"/>
      <c r="N39" s="249"/>
      <c r="O39" s="166"/>
      <c r="P39" s="171">
        <f t="shared" si="23"/>
        <v>0</v>
      </c>
      <c r="Q39" s="243"/>
      <c r="R39" s="244"/>
      <c r="S39" s="70"/>
    </row>
    <row r="40" spans="2:22" s="118" customFormat="1" ht="16.95" customHeight="1" outlineLevel="1" x14ac:dyDescent="0.25">
      <c r="B40" s="94" t="s">
        <v>216</v>
      </c>
      <c r="C40" s="245" t="s">
        <v>217</v>
      </c>
      <c r="D40" s="246"/>
      <c r="E40" s="246"/>
      <c r="F40" s="246"/>
      <c r="G40" s="246"/>
      <c r="H40" s="246"/>
      <c r="I40" s="247">
        <f>'Budget détaillé'!I40</f>
        <v>1500</v>
      </c>
      <c r="J40" s="163">
        <f>'Budget détaillé'!J40</f>
        <v>1080</v>
      </c>
      <c r="K40" s="248">
        <f>'Budget détaillé'!K40</f>
        <v>420</v>
      </c>
      <c r="L40" s="197"/>
      <c r="M40" s="166"/>
      <c r="N40" s="249"/>
      <c r="O40" s="166"/>
      <c r="P40" s="171">
        <f>SUM(L40:O40)</f>
        <v>0</v>
      </c>
      <c r="Q40" s="243"/>
      <c r="R40" s="244"/>
      <c r="S40" s="70"/>
    </row>
    <row r="41" spans="2:22" s="118" customFormat="1" ht="16.95" customHeight="1" outlineLevel="1" x14ac:dyDescent="0.25">
      <c r="B41" s="94" t="s">
        <v>218</v>
      </c>
      <c r="C41" s="245" t="s">
        <v>219</v>
      </c>
      <c r="D41" s="246"/>
      <c r="E41" s="246"/>
      <c r="F41" s="246"/>
      <c r="G41" s="246"/>
      <c r="H41" s="246"/>
      <c r="I41" s="247">
        <f>'Budget détaillé'!I41</f>
        <v>0</v>
      </c>
      <c r="J41" s="163">
        <f>'Budget détaillé'!J41</f>
        <v>0</v>
      </c>
      <c r="K41" s="248">
        <f>'Budget détaillé'!K41</f>
        <v>0</v>
      </c>
      <c r="L41" s="197"/>
      <c r="M41" s="166"/>
      <c r="N41" s="249"/>
      <c r="O41" s="166"/>
      <c r="P41" s="171">
        <f>SUM(L41:O41)</f>
        <v>0</v>
      </c>
      <c r="Q41" s="243"/>
      <c r="R41" s="244"/>
      <c r="S41" s="70"/>
    </row>
    <row r="42" spans="2:22" s="118" customFormat="1" ht="16.95" customHeight="1" outlineLevel="1" x14ac:dyDescent="0.25">
      <c r="B42" s="94" t="s">
        <v>220</v>
      </c>
      <c r="C42" s="245" t="s">
        <v>317</v>
      </c>
      <c r="D42" s="246"/>
      <c r="E42" s="246"/>
      <c r="F42" s="246"/>
      <c r="G42" s="246"/>
      <c r="H42" s="246"/>
      <c r="I42" s="247">
        <f>'Budget détaillé'!I42</f>
        <v>1500</v>
      </c>
      <c r="J42" s="163">
        <f>'Budget détaillé'!J42</f>
        <v>0</v>
      </c>
      <c r="K42" s="248">
        <f>'Budget détaillé'!K42</f>
        <v>1500</v>
      </c>
      <c r="L42" s="197"/>
      <c r="M42" s="166"/>
      <c r="N42" s="249"/>
      <c r="O42" s="166"/>
      <c r="P42" s="171">
        <f t="shared" si="23"/>
        <v>0</v>
      </c>
      <c r="Q42" s="243"/>
      <c r="R42" s="244"/>
      <c r="S42" s="70"/>
    </row>
    <row r="43" spans="2:22" s="118" customFormat="1" ht="16.95" customHeight="1" outlineLevel="1" x14ac:dyDescent="0.25">
      <c r="B43" s="94" t="s">
        <v>222</v>
      </c>
      <c r="C43" s="245" t="s">
        <v>223</v>
      </c>
      <c r="D43" s="246"/>
      <c r="E43" s="246"/>
      <c r="F43" s="246"/>
      <c r="G43" s="246"/>
      <c r="H43" s="246"/>
      <c r="I43" s="247">
        <f>'Budget détaillé'!I43</f>
        <v>0</v>
      </c>
      <c r="J43" s="163">
        <f>'Budget détaillé'!J43</f>
        <v>0</v>
      </c>
      <c r="K43" s="248">
        <f>'Budget détaillé'!K43</f>
        <v>0</v>
      </c>
      <c r="L43" s="197"/>
      <c r="M43" s="166"/>
      <c r="N43" s="249"/>
      <c r="O43" s="166"/>
      <c r="P43" s="171">
        <f t="shared" si="23"/>
        <v>0</v>
      </c>
      <c r="Q43" s="243"/>
      <c r="R43" s="244"/>
      <c r="S43" s="70"/>
    </row>
    <row r="44" spans="2:22" s="118" customFormat="1" ht="16.95" customHeight="1" outlineLevel="1" thickBot="1" x14ac:dyDescent="0.3">
      <c r="B44" s="250" t="s">
        <v>224</v>
      </c>
      <c r="C44" s="251" t="s">
        <v>225</v>
      </c>
      <c r="D44" s="252"/>
      <c r="E44" s="252"/>
      <c r="F44" s="252"/>
      <c r="G44" s="252"/>
      <c r="H44" s="253"/>
      <c r="I44" s="254">
        <f>'Budget détaillé'!I44</f>
        <v>0</v>
      </c>
      <c r="J44" s="255">
        <f>'Budget détaillé'!J44</f>
        <v>0</v>
      </c>
      <c r="K44" s="256">
        <f>'Budget détaillé'!K44</f>
        <v>0</v>
      </c>
      <c r="L44" s="257"/>
      <c r="M44" s="258"/>
      <c r="N44" s="259"/>
      <c r="O44" s="258"/>
      <c r="P44" s="260">
        <f t="shared" si="23"/>
        <v>0</v>
      </c>
      <c r="Q44" s="243"/>
      <c r="R44" s="244"/>
      <c r="S44" s="70"/>
    </row>
    <row r="45" spans="2:22" s="118" customFormat="1" ht="24.45" customHeight="1" outlineLevel="1" thickBot="1" x14ac:dyDescent="0.3">
      <c r="B45" s="261"/>
      <c r="C45" s="262"/>
      <c r="E45" s="263"/>
      <c r="F45" s="263"/>
      <c r="G45" s="263"/>
      <c r="H45" s="71" t="s">
        <v>226</v>
      </c>
      <c r="I45" s="264">
        <f>IF(E7=0,0,I35/$E$7)</f>
        <v>232</v>
      </c>
      <c r="J45" s="264">
        <f>IF(E7-E8=0,0,J35/($E$7-$E$8))</f>
        <v>172</v>
      </c>
      <c r="K45" s="224">
        <f>IF($E$8=0,0,K35/$E$8)</f>
        <v>386.28571428571428</v>
      </c>
      <c r="L45" s="212"/>
      <c r="M45" s="212"/>
      <c r="N45" s="212"/>
      <c r="O45" s="212"/>
      <c r="P45" s="212"/>
      <c r="Q45" s="243"/>
      <c r="R45" s="244"/>
      <c r="S45" s="70"/>
      <c r="U45" s="70"/>
      <c r="V45" s="70"/>
    </row>
    <row r="46" spans="2:22" s="70" customFormat="1" ht="21.45" customHeight="1" thickBot="1" x14ac:dyDescent="0.3">
      <c r="B46" s="140" t="s">
        <v>227</v>
      </c>
      <c r="C46" s="141"/>
      <c r="D46" s="142"/>
      <c r="E46" s="142"/>
      <c r="F46" s="142"/>
      <c r="G46" s="142"/>
      <c r="H46" s="265"/>
      <c r="I46" s="266">
        <f t="shared" ref="I46:P46" si="24">I35+I32+I20+I27</f>
        <v>26030.880000000005</v>
      </c>
      <c r="J46" s="266">
        <f t="shared" si="24"/>
        <v>17178.736000000001</v>
      </c>
      <c r="K46" s="267">
        <f t="shared" si="24"/>
        <v>8852.1440000000002</v>
      </c>
      <c r="L46" s="266">
        <f t="shared" si="24"/>
        <v>0</v>
      </c>
      <c r="M46" s="266">
        <f t="shared" si="24"/>
        <v>0</v>
      </c>
      <c r="N46" s="266">
        <f t="shared" si="24"/>
        <v>0</v>
      </c>
      <c r="O46" s="266">
        <f t="shared" si="24"/>
        <v>0</v>
      </c>
      <c r="P46" s="268">
        <f t="shared" si="24"/>
        <v>0</v>
      </c>
      <c r="Q46" s="269">
        <f>IF($K$72=0,0,K46/$K$72)</f>
        <v>0.20038809281267686</v>
      </c>
      <c r="R46" s="150" t="s">
        <v>174</v>
      </c>
      <c r="S46" s="270"/>
      <c r="U46" s="67"/>
      <c r="V46" s="118"/>
    </row>
    <row r="47" spans="2:22" s="118" customFormat="1" ht="21" customHeight="1" thickBot="1" x14ac:dyDescent="0.3">
      <c r="B47" s="271"/>
      <c r="C47" s="272"/>
      <c r="D47" s="272"/>
      <c r="E47" s="273"/>
      <c r="F47" s="273"/>
      <c r="G47" s="273"/>
      <c r="H47" s="274" t="s">
        <v>228</v>
      </c>
      <c r="I47" s="222">
        <f>IF(E7=0,0,I46/E7)</f>
        <v>1041.2352000000001</v>
      </c>
      <c r="J47" s="264">
        <f>IF((E7-E8)=0,0,J46/(E7-E8))</f>
        <v>954.37422222222222</v>
      </c>
      <c r="K47" s="275">
        <f>IF(E8=0,0,K46/E8)</f>
        <v>1264.5920000000001</v>
      </c>
      <c r="L47" s="212"/>
      <c r="M47" s="212"/>
      <c r="N47" s="212"/>
      <c r="O47" s="212"/>
      <c r="P47" s="212"/>
      <c r="Q47" s="276"/>
      <c r="R47" s="244"/>
      <c r="S47" s="70"/>
      <c r="T47" s="117"/>
      <c r="U47" s="67"/>
    </row>
    <row r="48" spans="2:22" s="118" customFormat="1" ht="12" customHeight="1" thickBot="1" x14ac:dyDescent="0.3">
      <c r="B48" s="261"/>
      <c r="E48" s="263"/>
      <c r="F48" s="263"/>
      <c r="G48" s="263"/>
      <c r="H48" s="71"/>
      <c r="I48" s="222"/>
      <c r="J48" s="222"/>
      <c r="K48" s="277"/>
      <c r="L48" s="212"/>
      <c r="M48" s="212"/>
      <c r="N48" s="212"/>
      <c r="O48" s="212"/>
      <c r="P48" s="212"/>
      <c r="Q48" s="276"/>
      <c r="R48" s="244"/>
      <c r="S48" s="70"/>
      <c r="T48" s="117"/>
      <c r="U48" s="66"/>
      <c r="V48" s="66"/>
    </row>
    <row r="49" spans="1:22" s="66" customFormat="1" ht="55.8" thickBot="1" x14ac:dyDescent="0.3">
      <c r="B49" s="278" t="s">
        <v>229</v>
      </c>
      <c r="C49" s="279" t="s">
        <v>230</v>
      </c>
      <c r="D49" s="280"/>
      <c r="E49" s="280"/>
      <c r="F49" s="280"/>
      <c r="G49" s="280"/>
      <c r="H49" s="132" t="s">
        <v>231</v>
      </c>
      <c r="I49" s="131" t="s">
        <v>166</v>
      </c>
      <c r="J49" s="132" t="s">
        <v>167</v>
      </c>
      <c r="K49" s="133" t="s">
        <v>232</v>
      </c>
      <c r="L49" s="281" t="str">
        <f>L13</f>
        <v>Lyon 2</v>
      </c>
      <c r="M49" s="132" t="str">
        <f>M13</f>
        <v>Partenaire 1</v>
      </c>
      <c r="N49" s="132" t="str">
        <f>N13</f>
        <v>Partenaire 2</v>
      </c>
      <c r="O49" s="132" t="str">
        <f>O13</f>
        <v>Partenaire 3</v>
      </c>
      <c r="P49" s="137" t="s">
        <v>0</v>
      </c>
      <c r="Q49" s="282"/>
      <c r="R49" s="139"/>
      <c r="U49" s="70"/>
      <c r="V49" s="70"/>
    </row>
    <row r="50" spans="1:22" s="70" customFormat="1" ht="19.95" customHeight="1" thickBot="1" x14ac:dyDescent="0.3">
      <c r="B50" s="140" t="s">
        <v>233</v>
      </c>
      <c r="C50" s="141"/>
      <c r="D50" s="142"/>
      <c r="E50" s="142"/>
      <c r="F50" s="142"/>
      <c r="G50" s="142"/>
      <c r="H50" s="265"/>
      <c r="I50" s="145">
        <f>SUM(I51:I54)</f>
        <v>24284</v>
      </c>
      <c r="J50" s="146">
        <f>SUM(J51:J54)</f>
        <v>15912</v>
      </c>
      <c r="K50" s="147">
        <f>SUM(K51:K54)</f>
        <v>8372</v>
      </c>
      <c r="L50" s="145">
        <f t="shared" ref="L50:P50" si="25">SUM(L51:L54)</f>
        <v>0</v>
      </c>
      <c r="M50" s="144">
        <f t="shared" si="25"/>
        <v>0</v>
      </c>
      <c r="N50" s="144">
        <f t="shared" si="25"/>
        <v>0</v>
      </c>
      <c r="O50" s="145">
        <f t="shared" si="25"/>
        <v>0</v>
      </c>
      <c r="P50" s="147">
        <f t="shared" si="25"/>
        <v>0</v>
      </c>
      <c r="Q50" s="180"/>
      <c r="R50" s="283"/>
    </row>
    <row r="51" spans="1:22" s="70" customFormat="1" ht="16.95" customHeight="1" outlineLevel="2" x14ac:dyDescent="0.25">
      <c r="B51" s="284" t="s">
        <v>234</v>
      </c>
      <c r="C51" s="285" t="s">
        <v>235</v>
      </c>
      <c r="D51" s="286"/>
      <c r="E51" s="286"/>
      <c r="F51" s="286"/>
      <c r="G51" s="287"/>
      <c r="H51" s="163">
        <f>'Budget détaillé'!H51</f>
        <v>312</v>
      </c>
      <c r="I51" s="163">
        <f>'Budget détaillé'!I51</f>
        <v>2184</v>
      </c>
      <c r="J51" s="164">
        <f>'Budget détaillé'!J51</f>
        <v>0</v>
      </c>
      <c r="K51" s="165">
        <f>'Budget détaillé'!K51</f>
        <v>2184</v>
      </c>
      <c r="L51" s="288"/>
      <c r="M51" s="289"/>
      <c r="N51" s="289"/>
      <c r="O51" s="290"/>
      <c r="P51" s="167">
        <f>SUM(L51:O51)</f>
        <v>0</v>
      </c>
      <c r="Q51" s="180"/>
      <c r="R51" s="244"/>
      <c r="U51" s="118"/>
      <c r="V51" s="118"/>
    </row>
    <row r="52" spans="1:22" s="118" customFormat="1" ht="18.75" customHeight="1" outlineLevel="2" x14ac:dyDescent="0.25">
      <c r="B52" s="284" t="s">
        <v>236</v>
      </c>
      <c r="C52" s="291" t="s">
        <v>237</v>
      </c>
      <c r="D52" s="292"/>
      <c r="E52" s="292"/>
      <c r="F52" s="292"/>
      <c r="G52" s="293"/>
      <c r="H52" s="163">
        <f>'Budget détaillé'!H52</f>
        <v>708</v>
      </c>
      <c r="I52" s="163">
        <f>'Budget détaillé'!I52</f>
        <v>17700</v>
      </c>
      <c r="J52" s="164">
        <f>'Budget détaillé'!J52</f>
        <v>12744</v>
      </c>
      <c r="K52" s="165">
        <f>'Budget détaillé'!K52</f>
        <v>4956</v>
      </c>
      <c r="L52" s="288"/>
      <c r="M52" s="289"/>
      <c r="N52" s="289"/>
      <c r="O52" s="76"/>
      <c r="P52" s="171">
        <f>SUM(L52:O52)</f>
        <v>0</v>
      </c>
      <c r="Q52" s="122"/>
      <c r="R52" s="244"/>
      <c r="S52" s="70"/>
    </row>
    <row r="53" spans="1:22" s="118" customFormat="1" ht="18.75" customHeight="1" outlineLevel="2" x14ac:dyDescent="0.25">
      <c r="B53" s="284" t="s">
        <v>238</v>
      </c>
      <c r="C53" s="112" t="s">
        <v>239</v>
      </c>
      <c r="D53" s="294"/>
      <c r="E53" s="294"/>
      <c r="F53" s="294"/>
      <c r="G53" s="294"/>
      <c r="H53" s="163">
        <f>'Budget détaillé'!H53</f>
        <v>90</v>
      </c>
      <c r="I53" s="163">
        <f>'Budget détaillé'!I53</f>
        <v>2250</v>
      </c>
      <c r="J53" s="164">
        <f>'Budget détaillé'!J53</f>
        <v>1620</v>
      </c>
      <c r="K53" s="165">
        <f>'Budget détaillé'!K53</f>
        <v>630</v>
      </c>
      <c r="L53" s="288"/>
      <c r="M53" s="289"/>
      <c r="N53" s="289"/>
      <c r="O53" s="76"/>
      <c r="P53" s="171">
        <f>SUM(L53:O53)</f>
        <v>0</v>
      </c>
      <c r="Q53" s="122"/>
      <c r="R53" s="244"/>
      <c r="S53" s="70"/>
    </row>
    <row r="54" spans="1:22" s="118" customFormat="1" ht="18.75" customHeight="1" outlineLevel="2" thickBot="1" x14ac:dyDescent="0.3">
      <c r="B54" s="284" t="s">
        <v>240</v>
      </c>
      <c r="C54" s="112" t="s">
        <v>241</v>
      </c>
      <c r="D54" s="294"/>
      <c r="E54" s="294"/>
      <c r="F54" s="294"/>
      <c r="G54" s="294"/>
      <c r="H54" s="163">
        <f>'Budget détaillé'!H54</f>
        <v>86</v>
      </c>
      <c r="I54" s="163">
        <f>'Budget détaillé'!I54</f>
        <v>2150</v>
      </c>
      <c r="J54" s="164">
        <f>'Budget détaillé'!J54</f>
        <v>1548</v>
      </c>
      <c r="K54" s="165">
        <f>'Budget détaillé'!K54</f>
        <v>602</v>
      </c>
      <c r="L54" s="288"/>
      <c r="M54" s="289"/>
      <c r="N54" s="289"/>
      <c r="O54" s="76"/>
      <c r="P54" s="171">
        <f>SUM(L54:O54)</f>
        <v>0</v>
      </c>
      <c r="Q54" s="122"/>
      <c r="R54" s="244"/>
      <c r="S54" s="70"/>
      <c r="U54" s="70"/>
      <c r="V54" s="70"/>
    </row>
    <row r="55" spans="1:22" s="70" customFormat="1" ht="19.2" customHeight="1" thickBot="1" x14ac:dyDescent="0.3">
      <c r="B55" s="140" t="s">
        <v>242</v>
      </c>
      <c r="C55" s="141"/>
      <c r="D55" s="142"/>
      <c r="E55" s="142"/>
      <c r="F55" s="142"/>
      <c r="G55" s="142"/>
      <c r="H55" s="265"/>
      <c r="I55" s="145">
        <f>SUM(I56:I58)</f>
        <v>24100</v>
      </c>
      <c r="J55" s="146">
        <f>SUM(J56:J58)</f>
        <v>17352</v>
      </c>
      <c r="K55" s="147">
        <f>SUM(K56:K58)</f>
        <v>6748</v>
      </c>
      <c r="L55" s="145">
        <f t="shared" ref="L55:P55" si="26">SUM(L56:L58)</f>
        <v>0</v>
      </c>
      <c r="M55" s="144">
        <f t="shared" si="26"/>
        <v>0</v>
      </c>
      <c r="N55" s="144">
        <f t="shared" si="26"/>
        <v>0</v>
      </c>
      <c r="O55" s="145">
        <f t="shared" si="26"/>
        <v>0</v>
      </c>
      <c r="P55" s="147">
        <f t="shared" si="26"/>
        <v>0</v>
      </c>
      <c r="Q55" s="295"/>
      <c r="R55" s="244"/>
    </row>
    <row r="56" spans="1:22" s="70" customFormat="1" ht="16.95" customHeight="1" outlineLevel="1" x14ac:dyDescent="0.25">
      <c r="B56" s="94" t="s">
        <v>243</v>
      </c>
      <c r="C56" s="245" t="s">
        <v>244</v>
      </c>
      <c r="D56" s="246"/>
      <c r="E56" s="246"/>
      <c r="F56" s="246"/>
      <c r="G56" s="246"/>
      <c r="H56" s="163">
        <f>'Budget détaillé'!H56</f>
        <v>222</v>
      </c>
      <c r="I56" s="163">
        <f>'Budget détaillé'!I56</f>
        <v>5550</v>
      </c>
      <c r="J56" s="164">
        <f>'Budget détaillé'!J56</f>
        <v>3996</v>
      </c>
      <c r="K56" s="165">
        <f>'Budget détaillé'!K56</f>
        <v>1554</v>
      </c>
      <c r="L56" s="288"/>
      <c r="M56" s="289"/>
      <c r="N56" s="289"/>
      <c r="O56" s="76"/>
      <c r="P56" s="171">
        <f>SUM(L56:O56)</f>
        <v>0</v>
      </c>
      <c r="Q56" s="122"/>
      <c r="R56" s="296"/>
    </row>
    <row r="57" spans="1:22" s="70" customFormat="1" ht="16.95" customHeight="1" outlineLevel="1" x14ac:dyDescent="0.25">
      <c r="B57" s="94" t="s">
        <v>245</v>
      </c>
      <c r="C57" s="245" t="s">
        <v>246</v>
      </c>
      <c r="D57" s="246"/>
      <c r="E57" s="246"/>
      <c r="F57" s="246"/>
      <c r="G57" s="246"/>
      <c r="H57" s="163">
        <f>'Budget détaillé'!H57</f>
        <v>550</v>
      </c>
      <c r="I57" s="163">
        <f>'Budget détaillé'!I57</f>
        <v>13750</v>
      </c>
      <c r="J57" s="164">
        <f>'Budget détaillé'!J57</f>
        <v>9900</v>
      </c>
      <c r="K57" s="165">
        <f>'Budget détaillé'!K57</f>
        <v>3850</v>
      </c>
      <c r="L57" s="288"/>
      <c r="M57" s="289"/>
      <c r="N57" s="289"/>
      <c r="O57" s="76"/>
      <c r="P57" s="171">
        <f>SUM(L57:O57)</f>
        <v>0</v>
      </c>
      <c r="Q57" s="122"/>
      <c r="R57" s="244"/>
    </row>
    <row r="58" spans="1:22" s="70" customFormat="1" ht="16.95" customHeight="1" outlineLevel="1" thickBot="1" x14ac:dyDescent="0.3">
      <c r="B58" s="94" t="s">
        <v>247</v>
      </c>
      <c r="C58" s="245" t="s">
        <v>248</v>
      </c>
      <c r="D58" s="246"/>
      <c r="E58" s="246"/>
      <c r="F58" s="246"/>
      <c r="G58" s="246"/>
      <c r="H58" s="163">
        <f>'Budget détaillé'!H58</f>
        <v>192</v>
      </c>
      <c r="I58" s="163">
        <f>'Budget détaillé'!I58</f>
        <v>4800</v>
      </c>
      <c r="J58" s="164">
        <f>'Budget détaillé'!J58</f>
        <v>3456</v>
      </c>
      <c r="K58" s="165">
        <f>'Budget détaillé'!K58</f>
        <v>1344</v>
      </c>
      <c r="L58" s="288"/>
      <c r="M58" s="289"/>
      <c r="N58" s="289"/>
      <c r="O58" s="76"/>
      <c r="P58" s="171">
        <f>SUM(L58:O58)</f>
        <v>0</v>
      </c>
      <c r="Q58" s="122"/>
      <c r="R58" s="244"/>
    </row>
    <row r="59" spans="1:22" s="70" customFormat="1" ht="21.45" customHeight="1" thickBot="1" x14ac:dyDescent="0.3">
      <c r="B59" s="140" t="s">
        <v>249</v>
      </c>
      <c r="C59" s="141"/>
      <c r="D59" s="142"/>
      <c r="E59" s="142"/>
      <c r="F59" s="142"/>
      <c r="G59" s="142"/>
      <c r="H59" s="265"/>
      <c r="I59" s="145">
        <f>I50+I55</f>
        <v>48384</v>
      </c>
      <c r="J59" s="146">
        <f>J50+J55</f>
        <v>33264</v>
      </c>
      <c r="K59" s="147">
        <f>K50+K55</f>
        <v>15120</v>
      </c>
      <c r="L59" s="145">
        <f t="shared" ref="L59:P59" si="27">L50+L55</f>
        <v>0</v>
      </c>
      <c r="M59" s="144">
        <f t="shared" si="27"/>
        <v>0</v>
      </c>
      <c r="N59" s="144">
        <f t="shared" si="27"/>
        <v>0</v>
      </c>
      <c r="O59" s="145">
        <f t="shared" si="27"/>
        <v>0</v>
      </c>
      <c r="P59" s="147">
        <f t="shared" si="27"/>
        <v>0</v>
      </c>
      <c r="Q59" s="149">
        <f>IF($K$72=0,0,K59/$K$72)</f>
        <v>0.34227504244482171</v>
      </c>
      <c r="R59" s="297" t="s">
        <v>174</v>
      </c>
      <c r="S59" s="298">
        <f>IF((K59+K46)=0,0,K59/(K59+K46))</f>
        <v>0.63073206968888551</v>
      </c>
      <c r="T59" s="150" t="s">
        <v>250</v>
      </c>
      <c r="U59" s="67"/>
    </row>
    <row r="60" spans="1:22" ht="21" customHeight="1" thickBot="1" x14ac:dyDescent="0.3">
      <c r="A60" s="70"/>
      <c r="B60" s="271"/>
      <c r="C60" s="299"/>
      <c r="D60" s="299"/>
      <c r="E60" s="273"/>
      <c r="F60" s="273"/>
      <c r="G60" s="273"/>
      <c r="H60" s="71" t="s">
        <v>251</v>
      </c>
      <c r="I60" s="264">
        <f>IF(E7=0,0,I59/E7)</f>
        <v>1935.36</v>
      </c>
      <c r="J60" s="264">
        <f>IF((E7-E8)=0,0,J59/(E7-E8))</f>
        <v>1848</v>
      </c>
      <c r="K60" s="275">
        <f>IF(E8=0,0,K59/E8)</f>
        <v>2160</v>
      </c>
      <c r="L60" s="212"/>
      <c r="M60" s="212"/>
      <c r="N60" s="212"/>
      <c r="O60" s="212"/>
      <c r="P60" s="212"/>
      <c r="Q60" s="70"/>
      <c r="R60" s="70"/>
      <c r="S60" s="70"/>
      <c r="T60" s="117"/>
      <c r="U60" s="70"/>
      <c r="V60" s="70"/>
    </row>
    <row r="61" spans="1:22" s="70" customFormat="1" ht="13.2" customHeight="1" thickBot="1" x14ac:dyDescent="0.3">
      <c r="B61" s="300"/>
      <c r="C61" s="301"/>
      <c r="D61" s="301"/>
      <c r="E61" s="301"/>
      <c r="F61" s="301"/>
      <c r="G61" s="301"/>
      <c r="H61" s="301"/>
      <c r="I61" s="302"/>
      <c r="J61" s="302"/>
      <c r="K61" s="303"/>
      <c r="L61" s="304"/>
      <c r="M61" s="304"/>
      <c r="N61" s="304"/>
      <c r="O61" s="304"/>
      <c r="P61" s="304"/>
      <c r="Q61" s="305"/>
      <c r="R61" s="66"/>
    </row>
    <row r="62" spans="1:22" s="70" customFormat="1" ht="24.45" customHeight="1" thickBot="1" x14ac:dyDescent="0.3">
      <c r="B62" s="306" t="s">
        <v>252</v>
      </c>
      <c r="C62" s="306"/>
      <c r="D62" s="307"/>
      <c r="E62" s="308"/>
      <c r="F62" s="307"/>
      <c r="G62" s="309"/>
      <c r="H62" s="310"/>
      <c r="I62" s="311">
        <f>I59+I46</f>
        <v>74414.880000000005</v>
      </c>
      <c r="J62" s="311">
        <f>J59+J46</f>
        <v>50442.736000000004</v>
      </c>
      <c r="K62" s="312">
        <f>K59+K46</f>
        <v>23972.144</v>
      </c>
      <c r="L62" s="311">
        <f t="shared" ref="L62:O62" si="28">L59+L46</f>
        <v>0</v>
      </c>
      <c r="M62" s="311">
        <f t="shared" si="28"/>
        <v>0</v>
      </c>
      <c r="N62" s="311">
        <f t="shared" si="28"/>
        <v>0</v>
      </c>
      <c r="O62" s="311">
        <f t="shared" si="28"/>
        <v>0</v>
      </c>
      <c r="P62" s="312">
        <f>P59+P46</f>
        <v>0</v>
      </c>
      <c r="Q62" s="149">
        <f>IF($K$72=0,0,K62/$K$72)</f>
        <v>0.54266313525749854</v>
      </c>
      <c r="R62" s="150" t="s">
        <v>174</v>
      </c>
      <c r="U62" s="118"/>
      <c r="V62" s="118"/>
    </row>
    <row r="63" spans="1:22" s="118" customFormat="1" ht="18.75" customHeight="1" x14ac:dyDescent="0.25">
      <c r="B63" s="205"/>
      <c r="C63" s="286"/>
      <c r="D63" s="313"/>
      <c r="E63" s="313"/>
      <c r="F63" s="313"/>
      <c r="G63" s="314"/>
      <c r="H63" s="314" t="s">
        <v>253</v>
      </c>
      <c r="I63" s="315">
        <f>IF(E7=0,0,I62/$E$7)</f>
        <v>2976.5952000000002</v>
      </c>
      <c r="J63" s="316">
        <f>IF(($E$7-$E$8)=0,0,J62/($E$7-$E$8))</f>
        <v>2802.3742222222227</v>
      </c>
      <c r="K63" s="317">
        <f>IF(E8=0,0,K62/$E$8)</f>
        <v>3424.5920000000001</v>
      </c>
      <c r="L63" s="318"/>
      <c r="M63" s="318"/>
      <c r="N63" s="318"/>
      <c r="O63" s="319"/>
      <c r="P63" s="319"/>
      <c r="Q63" s="122"/>
      <c r="R63" s="244"/>
      <c r="S63" s="70"/>
    </row>
    <row r="64" spans="1:22" s="118" customFormat="1" ht="18.45" customHeight="1" thickBot="1" x14ac:dyDescent="0.3">
      <c r="B64" s="217"/>
      <c r="C64" s="320"/>
      <c r="D64" s="321"/>
      <c r="E64" s="321"/>
      <c r="F64" s="321"/>
      <c r="G64" s="322"/>
      <c r="H64" s="322" t="s">
        <v>254</v>
      </c>
      <c r="I64" s="255">
        <f t="shared" ref="I64:P64" si="29">IF(I33=0,0,I62/I33)</f>
        <v>155.67966527196651</v>
      </c>
      <c r="J64" s="255">
        <f t="shared" si="29"/>
        <v>167.4725630810093</v>
      </c>
      <c r="K64" s="255">
        <f t="shared" si="29"/>
        <v>135.58904977375565</v>
      </c>
      <c r="L64" s="255">
        <f t="shared" si="29"/>
        <v>0</v>
      </c>
      <c r="M64" s="255">
        <f t="shared" si="29"/>
        <v>0</v>
      </c>
      <c r="N64" s="255">
        <f t="shared" si="29"/>
        <v>0</v>
      </c>
      <c r="O64" s="255">
        <f t="shared" si="29"/>
        <v>0</v>
      </c>
      <c r="P64" s="363">
        <f t="shared" si="29"/>
        <v>0</v>
      </c>
      <c r="Q64" s="364"/>
      <c r="R64" s="244"/>
      <c r="S64" s="70"/>
      <c r="U64" s="70"/>
      <c r="V64" s="70"/>
    </row>
    <row r="65" spans="2:24" ht="14.4" thickBot="1" x14ac:dyDescent="0.3">
      <c r="B65" s="323"/>
      <c r="C65" s="323"/>
      <c r="D65" s="323"/>
      <c r="E65" s="323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324"/>
      <c r="R65" s="66"/>
      <c r="S65" s="70"/>
      <c r="T65" s="70"/>
      <c r="U65" s="66"/>
      <c r="V65" s="70"/>
      <c r="W65" s="70"/>
      <c r="X65" s="70"/>
    </row>
    <row r="66" spans="2:24" ht="24.45" customHeight="1" thickBot="1" x14ac:dyDescent="0.3">
      <c r="B66" s="492" t="s">
        <v>255</v>
      </c>
      <c r="C66" s="493"/>
      <c r="D66" s="493"/>
      <c r="E66" s="493"/>
      <c r="F66" s="493"/>
      <c r="G66" s="493"/>
      <c r="H66" s="493"/>
      <c r="I66" s="493"/>
      <c r="J66" s="493"/>
      <c r="K66" s="494"/>
      <c r="L66" s="123"/>
      <c r="M66" s="124"/>
      <c r="N66" s="124"/>
      <c r="O66" s="124"/>
      <c r="P66" s="125"/>
      <c r="Q66" s="66"/>
      <c r="R66" s="66"/>
      <c r="S66" s="70"/>
      <c r="T66" s="66"/>
      <c r="U66" s="70"/>
      <c r="V66" s="70"/>
      <c r="W66" s="70"/>
      <c r="X66" s="70"/>
    </row>
    <row r="67" spans="2:24" ht="7.5" customHeight="1" thickBot="1" x14ac:dyDescent="0.3">
      <c r="B67" s="325"/>
      <c r="C67" s="70"/>
      <c r="D67" s="70"/>
      <c r="E67" s="70"/>
      <c r="F67" s="70"/>
      <c r="G67" s="70"/>
      <c r="H67" s="107"/>
      <c r="I67" s="326"/>
      <c r="J67" s="326"/>
      <c r="K67" s="327"/>
      <c r="L67" s="328"/>
      <c r="M67" s="328"/>
      <c r="N67" s="328"/>
      <c r="O67" s="328"/>
      <c r="P67" s="328"/>
      <c r="Q67" s="68"/>
      <c r="R67" s="66"/>
      <c r="S67" s="70"/>
      <c r="T67" s="70"/>
      <c r="U67" s="66"/>
      <c r="V67" s="66"/>
      <c r="W67" s="70"/>
      <c r="X67" s="70"/>
    </row>
    <row r="68" spans="2:24" s="66" customFormat="1" ht="55.8" thickBot="1" x14ac:dyDescent="0.3">
      <c r="B68" s="278" t="s">
        <v>256</v>
      </c>
      <c r="C68" s="279" t="s">
        <v>257</v>
      </c>
      <c r="D68" s="280"/>
      <c r="E68" s="280"/>
      <c r="F68" s="280"/>
      <c r="G68" s="280"/>
      <c r="H68" s="329"/>
      <c r="I68" s="330" t="s">
        <v>166</v>
      </c>
      <c r="J68" s="132" t="s">
        <v>167</v>
      </c>
      <c r="K68" s="133" t="s">
        <v>232</v>
      </c>
      <c r="L68" s="281" t="s">
        <v>169</v>
      </c>
      <c r="M68" s="131" t="s">
        <v>170</v>
      </c>
      <c r="N68" s="131" t="s">
        <v>171</v>
      </c>
      <c r="O68" s="331" t="s">
        <v>172</v>
      </c>
      <c r="P68" s="332" t="s">
        <v>0</v>
      </c>
      <c r="Q68" s="282"/>
      <c r="R68" s="139"/>
      <c r="U68" s="70"/>
      <c r="V68" s="70"/>
    </row>
    <row r="69" spans="2:24" ht="24" customHeight="1" x14ac:dyDescent="0.25">
      <c r="B69" s="233" t="s">
        <v>258</v>
      </c>
      <c r="C69" s="285" t="s">
        <v>259</v>
      </c>
      <c r="D69" s="333"/>
      <c r="E69" s="333"/>
      <c r="F69" s="333"/>
      <c r="G69" s="333"/>
      <c r="H69" s="334"/>
      <c r="I69" s="335">
        <f>J69+K69</f>
        <v>48549</v>
      </c>
      <c r="J69" s="335">
        <f>'Recettes et simulat'!G16</f>
        <v>4374</v>
      </c>
      <c r="K69" s="336">
        <f>'Recettes et simulat'!J28</f>
        <v>44175</v>
      </c>
      <c r="L69" s="239"/>
      <c r="M69" s="240"/>
      <c r="N69" s="337"/>
      <c r="O69" s="337"/>
      <c r="P69" s="242">
        <f>SUM(L69:O69)</f>
        <v>0</v>
      </c>
      <c r="Q69" s="66"/>
      <c r="R69" s="66"/>
      <c r="S69" s="70"/>
      <c r="T69" s="70"/>
      <c r="U69" s="70"/>
      <c r="V69" s="70"/>
      <c r="W69" s="70"/>
      <c r="X69" s="66"/>
    </row>
    <row r="70" spans="2:24" ht="27" customHeight="1" thickBot="1" x14ac:dyDescent="0.3">
      <c r="B70" s="250" t="s">
        <v>260</v>
      </c>
      <c r="C70" s="251" t="s">
        <v>261</v>
      </c>
      <c r="D70" s="338"/>
      <c r="E70" s="338"/>
      <c r="F70" s="338"/>
      <c r="G70" s="338"/>
      <c r="H70" s="339"/>
      <c r="I70" s="340">
        <f>J70+K70</f>
        <v>0</v>
      </c>
      <c r="J70" s="341"/>
      <c r="K70" s="342">
        <f>'Recettes et simulat'!F39</f>
        <v>0</v>
      </c>
      <c r="L70" s="257"/>
      <c r="M70" s="258"/>
      <c r="N70" s="258"/>
      <c r="O70" s="343"/>
      <c r="P70" s="260">
        <f>SUM(L70:O70)</f>
        <v>0</v>
      </c>
      <c r="Q70" s="66"/>
      <c r="R70" s="66"/>
      <c r="S70" s="70"/>
      <c r="T70" s="70"/>
      <c r="U70" s="70"/>
      <c r="V70" s="70"/>
      <c r="W70" s="70"/>
      <c r="X70" s="66"/>
    </row>
    <row r="71" spans="2:24" ht="11.55" customHeight="1" thickBot="1" x14ac:dyDescent="0.3">
      <c r="B71" s="344"/>
      <c r="C71" s="345"/>
      <c r="D71" s="346"/>
      <c r="E71" s="345"/>
      <c r="F71" s="346"/>
      <c r="G71" s="346"/>
      <c r="H71" s="346"/>
      <c r="I71" s="347"/>
      <c r="J71" s="347"/>
      <c r="K71" s="348"/>
      <c r="L71" s="347"/>
      <c r="M71" s="347"/>
      <c r="N71" s="347"/>
      <c r="O71" s="347"/>
      <c r="P71" s="347"/>
      <c r="Q71" s="349"/>
      <c r="R71" s="350"/>
      <c r="S71" s="351"/>
      <c r="T71" s="70"/>
      <c r="U71" s="70"/>
      <c r="V71" s="70"/>
      <c r="W71" s="70"/>
      <c r="X71" s="66"/>
    </row>
    <row r="72" spans="2:24" s="70" customFormat="1" ht="24.45" customHeight="1" thickBot="1" x14ac:dyDescent="0.3">
      <c r="B72" s="306" t="s">
        <v>262</v>
      </c>
      <c r="C72" s="306"/>
      <c r="D72" s="307"/>
      <c r="E72" s="308"/>
      <c r="F72" s="307"/>
      <c r="G72" s="309"/>
      <c r="H72" s="310"/>
      <c r="I72" s="311">
        <f>I69+I70</f>
        <v>48549</v>
      </c>
      <c r="J72" s="311">
        <f>J69+J70</f>
        <v>4374</v>
      </c>
      <c r="K72" s="312">
        <f>K69+K70</f>
        <v>44175</v>
      </c>
      <c r="L72" s="311">
        <f t="shared" ref="L72:O72" si="30">L69+L70</f>
        <v>0</v>
      </c>
      <c r="M72" s="311">
        <f t="shared" si="30"/>
        <v>0</v>
      </c>
      <c r="N72" s="311">
        <f t="shared" si="30"/>
        <v>0</v>
      </c>
      <c r="O72" s="311">
        <f t="shared" si="30"/>
        <v>0</v>
      </c>
      <c r="P72" s="312">
        <f>P69+P70</f>
        <v>0</v>
      </c>
      <c r="U72" s="118"/>
      <c r="V72" s="118"/>
      <c r="X72" s="66"/>
    </row>
    <row r="73" spans="2:24" s="118" customFormat="1" ht="18" customHeight="1" thickBot="1" x14ac:dyDescent="0.3">
      <c r="B73" s="271"/>
      <c r="C73" s="299"/>
      <c r="D73" s="352"/>
      <c r="E73" s="352"/>
      <c r="F73" s="352"/>
      <c r="G73" s="353"/>
      <c r="H73" s="353" t="s">
        <v>263</v>
      </c>
      <c r="I73" s="354"/>
      <c r="J73" s="354"/>
      <c r="K73" s="355">
        <f>IF(E8=0,0,K72/$E$8)</f>
        <v>6310.7142857142853</v>
      </c>
      <c r="L73" s="318"/>
      <c r="M73" s="318"/>
      <c r="N73" s="318"/>
      <c r="O73" s="319"/>
      <c r="P73" s="319"/>
      <c r="Q73" s="122"/>
      <c r="R73" s="244"/>
      <c r="S73" s="70"/>
    </row>
    <row r="74" spans="2:24" s="70" customFormat="1" ht="14.4" thickBot="1" x14ac:dyDescent="0.3">
      <c r="C74" s="323"/>
      <c r="D74" s="323"/>
      <c r="E74" s="323"/>
      <c r="F74" s="323"/>
      <c r="G74" s="323"/>
      <c r="H74" s="323"/>
      <c r="I74" s="356"/>
      <c r="J74" s="356"/>
      <c r="K74" s="356"/>
      <c r="L74" s="356"/>
      <c r="M74" s="356"/>
      <c r="N74" s="356"/>
      <c r="O74" s="356"/>
      <c r="P74" s="356"/>
      <c r="Q74" s="67"/>
      <c r="R74" s="66"/>
    </row>
    <row r="75" spans="2:24" s="70" customFormat="1" ht="24.45" customHeight="1" thickBot="1" x14ac:dyDescent="0.3">
      <c r="B75" s="306" t="s">
        <v>264</v>
      </c>
      <c r="C75" s="306"/>
      <c r="D75" s="307"/>
      <c r="E75" s="308"/>
      <c r="F75" s="307"/>
      <c r="G75" s="309"/>
      <c r="H75" s="310"/>
      <c r="I75" s="311">
        <f t="shared" ref="I75:P75" si="31">I72-I62</f>
        <v>-25865.880000000005</v>
      </c>
      <c r="J75" s="311">
        <f t="shared" si="31"/>
        <v>-46068.736000000004</v>
      </c>
      <c r="K75" s="312">
        <f t="shared" si="31"/>
        <v>20202.856</v>
      </c>
      <c r="L75" s="311">
        <f t="shared" si="31"/>
        <v>0</v>
      </c>
      <c r="M75" s="311">
        <f t="shared" si="31"/>
        <v>0</v>
      </c>
      <c r="N75" s="311">
        <f t="shared" si="31"/>
        <v>0</v>
      </c>
      <c r="O75" s="311">
        <f t="shared" si="31"/>
        <v>0</v>
      </c>
      <c r="P75" s="312">
        <f t="shared" si="31"/>
        <v>0</v>
      </c>
      <c r="Q75" s="149">
        <f>IF($K$72=0,0,K75/$K$72)</f>
        <v>0.4573368647425014</v>
      </c>
      <c r="R75" s="150" t="s">
        <v>174</v>
      </c>
      <c r="U75" s="118"/>
      <c r="V75" s="118"/>
      <c r="X75" s="66"/>
    </row>
    <row r="76" spans="2:24" ht="13.8" x14ac:dyDescent="0.25">
      <c r="B76" s="70"/>
      <c r="C76" s="70"/>
      <c r="D76" s="70"/>
      <c r="E76" s="70"/>
      <c r="F76" s="70"/>
      <c r="G76" s="70"/>
      <c r="H76" s="107"/>
      <c r="I76" s="108"/>
      <c r="J76" s="109"/>
      <c r="K76" s="107"/>
      <c r="L76" s="107"/>
      <c r="M76" s="107"/>
      <c r="N76" s="107"/>
      <c r="O76" s="107"/>
      <c r="P76" s="107"/>
      <c r="Q76" s="66"/>
      <c r="R76" s="66"/>
      <c r="S76" s="70"/>
      <c r="T76" s="70"/>
      <c r="U76" s="70"/>
      <c r="V76" s="70"/>
      <c r="W76" s="70"/>
      <c r="X76" s="70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2F333B-DC21-4F68-BE14-82B8DBF1F9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aeb6e5-197f-474c-84d2-6b90aa585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98E34E-358E-443D-9A1B-BBAABD47E4EF}">
  <ds:schemaRefs>
    <ds:schemaRef ds:uri="http://purl.org/dc/terms/"/>
    <ds:schemaRef ds:uri="http://purl.org/dc/elements/1.1/"/>
    <ds:schemaRef ds:uri="c9aeb6e5-197f-474c-84d2-6b90aa585576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Valerie Desprat</cp:lastModifiedBy>
  <cp:revision/>
  <dcterms:created xsi:type="dcterms:W3CDTF">2001-05-25T13:39:11Z</dcterms:created>
  <dcterms:modified xsi:type="dcterms:W3CDTF">2022-04-05T07:17:42Z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