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kschemel_adm\ownCloud3\TLIC administratif\Alternance\Kit alternance allégé M2 TLIC-jan 2022\"/>
    </mc:Choice>
  </mc:AlternateContent>
  <xr:revisionPtr revIDLastSave="1" documentId="8_{BD5F7D39-5FC1-44F8-A933-F2439563BEBD}" xr6:coauthVersionLast="47" xr6:coauthVersionMax="47" xr10:uidLastSave="{64C5F07A-78B5-4A12-ABE4-EABD93D8F9FB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2352" yWindow="0" windowWidth="21864" windowHeight="9648" firstSheet="1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5" i="39" l="1"/>
  <c r="I38" i="41"/>
  <c r="R54" i="39"/>
  <c r="U54" i="39"/>
  <c r="W54" i="39"/>
  <c r="R22" i="41"/>
  <c r="R25" i="41"/>
  <c r="R26" i="41"/>
  <c r="R24" i="41"/>
  <c r="R23" i="41"/>
  <c r="S16" i="41"/>
  <c r="G19" i="41"/>
  <c r="G17" i="41"/>
  <c r="G16" i="41"/>
  <c r="G16" i="42" s="1"/>
  <c r="P56" i="39"/>
  <c r="Q56" i="39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P21" i="39"/>
  <c r="Q21" i="39"/>
  <c r="P23" i="39"/>
  <c r="Q23" i="39"/>
  <c r="P24" i="39"/>
  <c r="Q24" i="39"/>
  <c r="P25" i="39"/>
  <c r="Q25" i="39"/>
  <c r="P26" i="39"/>
  <c r="Q26" i="39"/>
  <c r="P27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/>
  <c r="V89" i="39"/>
  <c r="X48" i="39"/>
  <c r="X7" i="39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P55" i="39"/>
  <c r="P54" i="39"/>
  <c r="P53" i="39"/>
  <c r="P52" i="39"/>
  <c r="P51" i="39"/>
  <c r="P50" i="39"/>
  <c r="P49" i="39"/>
  <c r="Q49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/>
  <c r="P10" i="39"/>
  <c r="Q10" i="39"/>
  <c r="P11" i="39"/>
  <c r="Q11" i="39"/>
  <c r="P12" i="39"/>
  <c r="Q12" i="39"/>
  <c r="P13" i="39"/>
  <c r="Q13" i="39"/>
  <c r="P14" i="39"/>
  <c r="Q14" i="39"/>
  <c r="P15" i="39"/>
  <c r="Q15" i="39"/>
  <c r="P16" i="39"/>
  <c r="Q16" i="39"/>
  <c r="P17" i="39"/>
  <c r="Q17" i="39"/>
  <c r="P18" i="39"/>
  <c r="Q18" i="39"/>
  <c r="P19" i="39"/>
  <c r="Q19" i="39"/>
  <c r="P20" i="39"/>
  <c r="P22" i="39"/>
  <c r="P8" i="39"/>
  <c r="Q8" i="39"/>
  <c r="S8" i="39"/>
  <c r="T8" i="39"/>
  <c r="S60" i="39"/>
  <c r="S59" i="39"/>
  <c r="S56" i="39"/>
  <c r="S27" i="39"/>
  <c r="S25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4" i="39"/>
  <c r="S26" i="39"/>
  <c r="Q50" i="39"/>
  <c r="S50" i="39"/>
  <c r="Q52" i="39"/>
  <c r="S52" i="39"/>
  <c r="Q53" i="39"/>
  <c r="S53" i="39"/>
  <c r="Q54" i="39"/>
  <c r="Q22" i="39"/>
  <c r="S22" i="39"/>
  <c r="Q55" i="39"/>
  <c r="S55" i="39"/>
  <c r="Q51" i="39"/>
  <c r="S51" i="39"/>
  <c r="Q20" i="39"/>
  <c r="S20" i="39"/>
  <c r="S19" i="39"/>
  <c r="S18" i="39"/>
  <c r="S10" i="39"/>
  <c r="S17" i="39"/>
  <c r="S9" i="39"/>
  <c r="S16" i="39"/>
  <c r="S15" i="39"/>
  <c r="S14" i="39"/>
  <c r="S13" i="39"/>
  <c r="S49" i="39"/>
  <c r="S12" i="39"/>
  <c r="S11" i="39"/>
  <c r="G18" i="4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/>
  <c r="O55" i="42"/>
  <c r="N55" i="42"/>
  <c r="M55" i="42"/>
  <c r="L55" i="42"/>
  <c r="P54" i="42"/>
  <c r="P53" i="42"/>
  <c r="P52" i="42"/>
  <c r="P51" i="42"/>
  <c r="P50" i="42"/>
  <c r="O50" i="42"/>
  <c r="O59" i="42"/>
  <c r="N50" i="42"/>
  <c r="N59" i="42"/>
  <c r="M50" i="42"/>
  <c r="M59" i="42"/>
  <c r="L50" i="42"/>
  <c r="L59" i="42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/>
  <c r="O20" i="42"/>
  <c r="N20" i="42"/>
  <c r="N14" i="42"/>
  <c r="M20" i="42"/>
  <c r="M14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/>
  <c r="L46" i="42"/>
  <c r="M46" i="42"/>
  <c r="O46" i="42"/>
  <c r="L62" i="42"/>
  <c r="Q90" i="39"/>
  <c r="G32" i="42"/>
  <c r="I29" i="42"/>
  <c r="R29" i="42"/>
  <c r="P59" i="42"/>
  <c r="P32" i="42"/>
  <c r="N46" i="42"/>
  <c r="P35" i="42"/>
  <c r="M62" i="42"/>
  <c r="M75" i="42"/>
  <c r="P72" i="42"/>
  <c r="P20" i="42"/>
  <c r="L14" i="42"/>
  <c r="O62" i="42"/>
  <c r="I35" i="42"/>
  <c r="I45" i="42"/>
  <c r="P14" i="42"/>
  <c r="S29" i="42"/>
  <c r="P46" i="42"/>
  <c r="P62" i="42"/>
  <c r="L75" i="42"/>
  <c r="N62" i="42"/>
  <c r="N75" i="42"/>
  <c r="O75" i="42"/>
  <c r="U29" i="42"/>
  <c r="T29" i="42"/>
  <c r="P75" i="42"/>
  <c r="L64" i="41"/>
  <c r="M64" i="41"/>
  <c r="N64" i="41"/>
  <c r="O64" i="41"/>
  <c r="P64" i="41"/>
  <c r="K8" i="41"/>
  <c r="J8" i="41"/>
  <c r="H7" i="41"/>
  <c r="E7" i="41"/>
  <c r="H6" i="41"/>
  <c r="D6" i="41"/>
  <c r="H5" i="41"/>
  <c r="H51" i="41"/>
  <c r="D5" i="41"/>
  <c r="G19" i="42"/>
  <c r="I19" i="42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/>
  <c r="H54" i="41"/>
  <c r="H53" i="41"/>
  <c r="H58" i="41"/>
  <c r="H56" i="41"/>
  <c r="H52" i="41"/>
  <c r="Q19" i="42"/>
  <c r="V19" i="42"/>
  <c r="S19" i="42"/>
  <c r="T19" i="42"/>
  <c r="U19" i="42"/>
  <c r="R19" i="42"/>
  <c r="O72" i="4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/>
  <c r="N50" i="41"/>
  <c r="M50" i="41"/>
  <c r="M59" i="41"/>
  <c r="L50" i="41"/>
  <c r="L59" i="41"/>
  <c r="O49" i="41"/>
  <c r="N49" i="41"/>
  <c r="M49" i="41"/>
  <c r="L49" i="41"/>
  <c r="P44" i="41"/>
  <c r="P43" i="41"/>
  <c r="P42" i="41"/>
  <c r="K42" i="41"/>
  <c r="P41" i="41"/>
  <c r="J41" i="41"/>
  <c r="J41" i="42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/>
  <c r="P19" i="41"/>
  <c r="I19" i="41"/>
  <c r="P18" i="41"/>
  <c r="P17" i="41"/>
  <c r="P16" i="41"/>
  <c r="F39" i="40"/>
  <c r="K28" i="40"/>
  <c r="F28" i="40"/>
  <c r="K27" i="40"/>
  <c r="H27" i="40"/>
  <c r="G27" i="40"/>
  <c r="J27" i="40"/>
  <c r="K26" i="40"/>
  <c r="H26" i="40"/>
  <c r="G26" i="40"/>
  <c r="J26" i="40"/>
  <c r="K25" i="40"/>
  <c r="H25" i="40"/>
  <c r="G25" i="40"/>
  <c r="J25" i="40"/>
  <c r="K24" i="40"/>
  <c r="H24" i="40"/>
  <c r="G24" i="40"/>
  <c r="J24" i="40"/>
  <c r="K23" i="40"/>
  <c r="H23" i="40"/>
  <c r="G23" i="40"/>
  <c r="J23" i="40"/>
  <c r="K22" i="40"/>
  <c r="H22" i="40"/>
  <c r="G22" i="40"/>
  <c r="J22" i="40"/>
  <c r="K21" i="40"/>
  <c r="H21" i="40"/>
  <c r="G21" i="40"/>
  <c r="J21" i="40"/>
  <c r="K20" i="40"/>
  <c r="H20" i="40"/>
  <c r="G20" i="40"/>
  <c r="J20" i="40"/>
  <c r="H19" i="40"/>
  <c r="G19" i="40"/>
  <c r="J19" i="40"/>
  <c r="K19" i="40"/>
  <c r="G18" i="40"/>
  <c r="S58" i="39"/>
  <c r="G28" i="40"/>
  <c r="K70" i="42"/>
  <c r="I70" i="42"/>
  <c r="K70" i="41"/>
  <c r="I70" i="41"/>
  <c r="J42" i="41"/>
  <c r="J42" i="42"/>
  <c r="K42" i="42"/>
  <c r="F16" i="40"/>
  <c r="G16" i="40"/>
  <c r="J69" i="42"/>
  <c r="E8" i="42"/>
  <c r="E8" i="41"/>
  <c r="K40" i="41"/>
  <c r="J18" i="40"/>
  <c r="P55" i="41"/>
  <c r="P72" i="41"/>
  <c r="O14" i="41"/>
  <c r="M14" i="41"/>
  <c r="P35" i="41"/>
  <c r="N59" i="41"/>
  <c r="P20" i="41"/>
  <c r="N14" i="41"/>
  <c r="P27" i="41"/>
  <c r="L46" i="41"/>
  <c r="L62" i="41"/>
  <c r="L75" i="41"/>
  <c r="P32" i="41"/>
  <c r="M46" i="41"/>
  <c r="M62" i="41"/>
  <c r="M75" i="41"/>
  <c r="P50" i="41"/>
  <c r="N46" i="41"/>
  <c r="O46" i="41"/>
  <c r="O62" i="41"/>
  <c r="O75" i="41"/>
  <c r="I45" i="41"/>
  <c r="Q19" i="41"/>
  <c r="R48" i="39"/>
  <c r="S23" i="39"/>
  <c r="R89" i="39"/>
  <c r="S57" i="39"/>
  <c r="K29" i="41"/>
  <c r="J29" i="41"/>
  <c r="Q29" i="41"/>
  <c r="K36" i="41"/>
  <c r="K36" i="42"/>
  <c r="K44" i="41"/>
  <c r="K44" i="42"/>
  <c r="J69" i="41"/>
  <c r="J72" i="41"/>
  <c r="K37" i="41"/>
  <c r="J37" i="41"/>
  <c r="J37" i="42"/>
  <c r="K19" i="41"/>
  <c r="J19" i="41"/>
  <c r="J28" i="40"/>
  <c r="K69" i="42"/>
  <c r="K72" i="42"/>
  <c r="K73" i="42"/>
  <c r="K43" i="41"/>
  <c r="J43" i="41"/>
  <c r="J43" i="42"/>
  <c r="K39" i="41"/>
  <c r="K39" i="42"/>
  <c r="I51" i="41"/>
  <c r="I51" i="42"/>
  <c r="H51" i="42"/>
  <c r="K29" i="42"/>
  <c r="J29" i="42"/>
  <c r="Q29" i="42"/>
  <c r="V29" i="42"/>
  <c r="K19" i="42"/>
  <c r="J19" i="42"/>
  <c r="K38" i="41"/>
  <c r="J38" i="41"/>
  <c r="J38" i="42"/>
  <c r="J72" i="42"/>
  <c r="J40" i="41"/>
  <c r="J40" i="42"/>
  <c r="K40" i="42"/>
  <c r="N62" i="41"/>
  <c r="N75" i="41"/>
  <c r="P46" i="41"/>
  <c r="P59" i="41"/>
  <c r="P14" i="41"/>
  <c r="P62" i="41"/>
  <c r="P75" i="41"/>
  <c r="R90" i="39"/>
  <c r="S89" i="39"/>
  <c r="J36" i="41"/>
  <c r="S48" i="39"/>
  <c r="J44" i="41"/>
  <c r="J44" i="42"/>
  <c r="K37" i="42"/>
  <c r="K43" i="42"/>
  <c r="J39" i="41"/>
  <c r="J39" i="42"/>
  <c r="K35" i="41"/>
  <c r="K45" i="41"/>
  <c r="K51" i="41"/>
  <c r="K51" i="42"/>
  <c r="K69" i="41"/>
  <c r="I69" i="41"/>
  <c r="I72" i="41"/>
  <c r="I69" i="42"/>
  <c r="I72" i="42"/>
  <c r="K38" i="42"/>
  <c r="J36" i="42"/>
  <c r="S90" i="39"/>
  <c r="K35" i="42"/>
  <c r="K45" i="42"/>
  <c r="K72" i="41"/>
  <c r="J51" i="41"/>
  <c r="J51" i="42"/>
  <c r="J35" i="42"/>
  <c r="J45" i="42"/>
  <c r="J35" i="41"/>
  <c r="J45" i="41"/>
  <c r="K73" i="41"/>
  <c r="Q35" i="4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/>
  <c r="T52" i="39"/>
  <c r="Y52" i="39"/>
  <c r="AD52" i="39"/>
  <c r="AC52" i="39"/>
  <c r="T53" i="39"/>
  <c r="Y53" i="39"/>
  <c r="AD53" i="39"/>
  <c r="AC53" i="39"/>
  <c r="T54" i="39"/>
  <c r="Y54" i="39"/>
  <c r="AD54" i="39"/>
  <c r="AC54" i="39"/>
  <c r="T55" i="39"/>
  <c r="Y55" i="39"/>
  <c r="AD55" i="39"/>
  <c r="AC55" i="39"/>
  <c r="T56" i="39"/>
  <c r="AD56" i="39"/>
  <c r="AC56" i="39"/>
  <c r="T57" i="39"/>
  <c r="Y57" i="39"/>
  <c r="AD57" i="39"/>
  <c r="AC57" i="39"/>
  <c r="T58" i="39"/>
  <c r="Y58" i="39"/>
  <c r="AD58" i="39"/>
  <c r="AC58" i="39"/>
  <c r="J3" i="39"/>
  <c r="T59" i="39"/>
  <c r="Y59" i="39"/>
  <c r="AD59" i="39"/>
  <c r="AC59" i="39"/>
  <c r="T60" i="39"/>
  <c r="AC60" i="39"/>
  <c r="AD60" i="39"/>
  <c r="T61" i="39"/>
  <c r="AC61" i="39"/>
  <c r="AD61" i="39"/>
  <c r="T62" i="39"/>
  <c r="AC62" i="39"/>
  <c r="AD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/>
  <c r="T15" i="39"/>
  <c r="AD15" i="39"/>
  <c r="AC15" i="39"/>
  <c r="T16" i="39"/>
  <c r="AD16" i="39"/>
  <c r="AC16" i="39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/>
  <c r="AD13" i="39"/>
  <c r="AC13" i="39"/>
  <c r="AD17" i="39"/>
  <c r="AC17" i="39"/>
  <c r="AD18" i="39"/>
  <c r="AC18" i="39"/>
  <c r="AD19" i="39"/>
  <c r="AC19" i="39"/>
  <c r="AD20" i="39"/>
  <c r="AC20" i="39"/>
  <c r="AD21" i="39"/>
  <c r="AC21" i="39"/>
  <c r="AD22" i="39"/>
  <c r="AC22" i="39"/>
  <c r="AD23" i="39"/>
  <c r="AC23" i="39"/>
  <c r="T23" i="39"/>
  <c r="T22" i="39"/>
  <c r="T21" i="39"/>
  <c r="T20" i="39"/>
  <c r="T19" i="39"/>
  <c r="T18" i="39"/>
  <c r="T17" i="39"/>
  <c r="T13" i="39"/>
  <c r="T12" i="39"/>
  <c r="AD27" i="39"/>
  <c r="AC27" i="39"/>
  <c r="AD25" i="39"/>
  <c r="AC25" i="39"/>
  <c r="K3" i="39"/>
  <c r="AD28" i="39"/>
  <c r="AC28" i="39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/>
  <c r="G23" i="42" s="1"/>
  <c r="Y21" i="39"/>
  <c r="G22" i="41"/>
  <c r="Y22" i="39"/>
  <c r="G17" i="42"/>
  <c r="I17" i="42"/>
  <c r="V48" i="39"/>
  <c r="V7" i="39"/>
  <c r="G25" i="41"/>
  <c r="G25" i="42" s="1"/>
  <c r="H25" i="42" s="1"/>
  <c r="I25" i="42" s="1"/>
  <c r="W48" i="39"/>
  <c r="Y18" i="39"/>
  <c r="AD26" i="39"/>
  <c r="AC26" i="39"/>
  <c r="AD24" i="39"/>
  <c r="AC24" i="39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17" i="41"/>
  <c r="U17" i="42"/>
  <c r="R17" i="42"/>
  <c r="S17" i="42"/>
  <c r="T17" i="42"/>
  <c r="K17" i="42"/>
  <c r="J17" i="42"/>
  <c r="Q17" i="42"/>
  <c r="V17" i="42"/>
  <c r="K17" i="41"/>
  <c r="J17" i="41"/>
  <c r="Q17" i="41"/>
  <c r="AD71" i="39"/>
  <c r="AC71" i="39"/>
  <c r="AD85" i="39"/>
  <c r="AC85" i="39"/>
  <c r="AD86" i="39"/>
  <c r="T88" i="39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/>
  <c r="AD88" i="39"/>
  <c r="AD87" i="39"/>
  <c r="AD70" i="39"/>
  <c r="AC70" i="39"/>
  <c r="AD69" i="39"/>
  <c r="AC69" i="39"/>
  <c r="R7" i="39"/>
  <c r="AD47" i="39"/>
  <c r="T47" i="39"/>
  <c r="AD46" i="39"/>
  <c r="T46" i="39"/>
  <c r="AD45" i="39"/>
  <c r="T45" i="39"/>
  <c r="AD44" i="39"/>
  <c r="T44" i="39"/>
  <c r="AD43" i="39"/>
  <c r="AD42" i="39"/>
  <c r="T27" i="39"/>
  <c r="T26" i="39"/>
  <c r="T25" i="39"/>
  <c r="T24" i="39"/>
  <c r="AD11" i="39"/>
  <c r="T11" i="39"/>
  <c r="AD10" i="39"/>
  <c r="AC10" i="39"/>
  <c r="AC11" i="39"/>
  <c r="Y11" i="39"/>
  <c r="G24" i="41"/>
  <c r="H24" i="41" s="1"/>
  <c r="T71" i="39"/>
  <c r="T70" i="39"/>
  <c r="T69" i="39"/>
  <c r="AD49" i="39"/>
  <c r="AC49" i="39"/>
  <c r="T29" i="39"/>
  <c r="T63" i="39"/>
  <c r="AD29" i="39"/>
  <c r="AC29" i="39"/>
  <c r="AD50" i="39"/>
  <c r="AD89" i="39"/>
  <c r="AD8" i="39"/>
  <c r="AD9" i="39"/>
  <c r="AC9" i="39"/>
  <c r="AD48" i="39"/>
  <c r="AC8" i="39"/>
  <c r="AC50" i="39"/>
  <c r="AC89" i="39"/>
  <c r="H89" i="39"/>
  <c r="Q7" i="39"/>
  <c r="T28" i="39"/>
  <c r="I4" i="39"/>
  <c r="H4" i="39"/>
  <c r="D18" i="40"/>
  <c r="I3" i="39"/>
  <c r="H3" i="39"/>
  <c r="AC48" i="39"/>
  <c r="H48" i="39"/>
  <c r="H90" i="39"/>
  <c r="S7" i="39"/>
  <c r="T50" i="39"/>
  <c r="Y50" i="39"/>
  <c r="T9" i="39"/>
  <c r="T49" i="39"/>
  <c r="W89" i="39"/>
  <c r="Y49" i="39"/>
  <c r="T48" i="39"/>
  <c r="Y9" i="39"/>
  <c r="Y48" i="39"/>
  <c r="T89" i="39"/>
  <c r="Y89" i="39"/>
  <c r="G26" i="41"/>
  <c r="H26" i="41" s="1"/>
  <c r="T90" i="39"/>
  <c r="U48" i="39"/>
  <c r="U7" i="39" s="1"/>
  <c r="T7" i="39"/>
  <c r="I52" i="41"/>
  <c r="I52" i="42"/>
  <c r="H52" i="42"/>
  <c r="I53" i="41"/>
  <c r="I53" i="42"/>
  <c r="H53" i="42"/>
  <c r="I57" i="41"/>
  <c r="I57" i="42"/>
  <c r="H57" i="42"/>
  <c r="I54" i="41"/>
  <c r="H54" i="42"/>
  <c r="I58" i="41"/>
  <c r="I58" i="42"/>
  <c r="H58" i="42"/>
  <c r="I56" i="41"/>
  <c r="I56" i="42"/>
  <c r="H56" i="42"/>
  <c r="K53" i="41"/>
  <c r="J53" i="41"/>
  <c r="J53" i="42"/>
  <c r="K58" i="41"/>
  <c r="J58" i="41"/>
  <c r="J58" i="42"/>
  <c r="K57" i="41"/>
  <c r="J57" i="41"/>
  <c r="J57" i="42"/>
  <c r="K56" i="41"/>
  <c r="K56" i="42"/>
  <c r="K54" i="41"/>
  <c r="I54" i="42"/>
  <c r="I50" i="42"/>
  <c r="I50" i="41"/>
  <c r="K52" i="41"/>
  <c r="I55" i="41"/>
  <c r="I55" i="42"/>
  <c r="K53" i="42"/>
  <c r="J56" i="41"/>
  <c r="J56" i="42"/>
  <c r="J55" i="42"/>
  <c r="K57" i="42"/>
  <c r="K58" i="42"/>
  <c r="K55" i="41"/>
  <c r="I59" i="42"/>
  <c r="I60" i="42"/>
  <c r="I59" i="41"/>
  <c r="J52" i="41"/>
  <c r="K52" i="42"/>
  <c r="K50" i="41"/>
  <c r="J54" i="41"/>
  <c r="J54" i="42"/>
  <c r="K54" i="42"/>
  <c r="J55" i="41"/>
  <c r="I60" i="41"/>
  <c r="K55" i="42"/>
  <c r="K59" i="41"/>
  <c r="Q59" i="41"/>
  <c r="K50" i="42"/>
  <c r="J52" i="42"/>
  <c r="J50" i="42"/>
  <c r="J59" i="42"/>
  <c r="J50" i="41"/>
  <c r="J59" i="41"/>
  <c r="J60" i="41"/>
  <c r="K60" i="41"/>
  <c r="K59" i="42"/>
  <c r="Q59" i="42"/>
  <c r="J60" i="42"/>
  <c r="K60" i="42"/>
  <c r="J34" i="41"/>
  <c r="J47" i="41"/>
  <c r="J34" i="42"/>
  <c r="J47" i="42"/>
  <c r="J63" i="41"/>
  <c r="J63" i="42"/>
  <c r="H18" i="40"/>
  <c r="H28" i="40"/>
  <c r="K18" i="40"/>
  <c r="Y7" i="39" l="1"/>
  <c r="W7" i="39"/>
  <c r="H25" i="41"/>
  <c r="I25" i="41" s="1"/>
  <c r="K25" i="41" s="1"/>
  <c r="J25" i="41" s="1"/>
  <c r="Q25" i="41" s="1"/>
  <c r="G27" i="41"/>
  <c r="I16" i="42"/>
  <c r="I16" i="41"/>
  <c r="H23" i="41"/>
  <c r="H22" i="41"/>
  <c r="I22" i="41" s="1"/>
  <c r="K22" i="41" s="1"/>
  <c r="J22" i="41" s="1"/>
  <c r="I26" i="41"/>
  <c r="S26" i="41"/>
  <c r="R25" i="42"/>
  <c r="S25" i="42"/>
  <c r="U25" i="42"/>
  <c r="K25" i="42"/>
  <c r="J25" i="42" s="1"/>
  <c r="Q25" i="42" s="1"/>
  <c r="V25" i="42" s="1"/>
  <c r="T25" i="42"/>
  <c r="H23" i="42"/>
  <c r="I23" i="42" s="1"/>
  <c r="I24" i="41"/>
  <c r="S24" i="41"/>
  <c r="G18" i="42"/>
  <c r="I18" i="41"/>
  <c r="G22" i="42"/>
  <c r="G20" i="41"/>
  <c r="G26" i="42"/>
  <c r="G24" i="42"/>
  <c r="S25" i="41" l="1"/>
  <c r="I23" i="41"/>
  <c r="S23" i="41"/>
  <c r="K16" i="41"/>
  <c r="J16" i="41" s="1"/>
  <c r="Q16" i="41" s="1"/>
  <c r="S22" i="41"/>
  <c r="U16" i="42"/>
  <c r="R16" i="42"/>
  <c r="K16" i="42"/>
  <c r="J16" i="42"/>
  <c r="Q16" i="42" s="1"/>
  <c r="V16" i="42" s="1"/>
  <c r="S16" i="42"/>
  <c r="T16" i="42"/>
  <c r="I18" i="42"/>
  <c r="G20" i="42"/>
  <c r="H24" i="42"/>
  <c r="I24" i="42" s="1"/>
  <c r="H26" i="42"/>
  <c r="I26" i="42" s="1"/>
  <c r="G14" i="41"/>
  <c r="I33" i="41"/>
  <c r="G27" i="42"/>
  <c r="H22" i="42"/>
  <c r="I22" i="42" s="1"/>
  <c r="J24" i="41"/>
  <c r="Q24" i="41"/>
  <c r="S23" i="42"/>
  <c r="K23" i="42"/>
  <c r="J23" i="42" s="1"/>
  <c r="Q23" i="42"/>
  <c r="V23" i="42" s="1"/>
  <c r="T23" i="42"/>
  <c r="U23" i="42"/>
  <c r="R23" i="42"/>
  <c r="I20" i="41"/>
  <c r="H20" i="41" s="1"/>
  <c r="K18" i="41"/>
  <c r="K26" i="41"/>
  <c r="K20" i="41" l="1"/>
  <c r="Q20" i="41" s="1"/>
  <c r="K23" i="41"/>
  <c r="J23" i="41" s="1"/>
  <c r="Q23" i="41"/>
  <c r="I27" i="41"/>
  <c r="H27" i="41" s="1"/>
  <c r="U26" i="42"/>
  <c r="T26" i="42"/>
  <c r="K26" i="42"/>
  <c r="J26" i="42" s="1"/>
  <c r="Q26" i="42" s="1"/>
  <c r="V26" i="42" s="1"/>
  <c r="S26" i="42"/>
  <c r="R26" i="42"/>
  <c r="K22" i="42"/>
  <c r="J22" i="42" s="1"/>
  <c r="U22" i="42"/>
  <c r="R22" i="42"/>
  <c r="I27" i="42"/>
  <c r="H27" i="42" s="1"/>
  <c r="S22" i="42"/>
  <c r="T22" i="42"/>
  <c r="Q22" i="42"/>
  <c r="V22" i="42" s="1"/>
  <c r="J26" i="41"/>
  <c r="Q26" i="41" s="1"/>
  <c r="K18" i="42"/>
  <c r="K20" i="42" s="1"/>
  <c r="T18" i="42"/>
  <c r="I20" i="42"/>
  <c r="H20" i="42" s="1"/>
  <c r="U18" i="42"/>
  <c r="R18" i="42"/>
  <c r="S18" i="42"/>
  <c r="J18" i="41"/>
  <c r="J24" i="42"/>
  <c r="Q24" i="42"/>
  <c r="V24" i="42" s="1"/>
  <c r="S24" i="42"/>
  <c r="T24" i="42"/>
  <c r="R24" i="42"/>
  <c r="U24" i="42"/>
  <c r="H30" i="41"/>
  <c r="I30" i="41" s="1"/>
  <c r="H31" i="41"/>
  <c r="I31" i="41" s="1"/>
  <c r="G14" i="42"/>
  <c r="K27" i="41" l="1"/>
  <c r="Q27" i="41" s="1"/>
  <c r="Q31" i="41"/>
  <c r="K31" i="41"/>
  <c r="J31" i="41" s="1"/>
  <c r="K30" i="41"/>
  <c r="J30" i="41"/>
  <c r="Q30" i="41"/>
  <c r="I32" i="41"/>
  <c r="J27" i="41"/>
  <c r="J18" i="42"/>
  <c r="J20" i="41"/>
  <c r="Q18" i="41"/>
  <c r="Q20" i="42"/>
  <c r="H31" i="42"/>
  <c r="I31" i="42" s="1"/>
  <c r="H30" i="42"/>
  <c r="I30" i="42" s="1"/>
  <c r="J27" i="42"/>
  <c r="K27" i="42"/>
  <c r="Q27" i="42" s="1"/>
  <c r="J32" i="41" l="1"/>
  <c r="J46" i="41" s="1"/>
  <c r="J62" i="41" s="1"/>
  <c r="J75" i="41" s="1"/>
  <c r="E9" i="40" s="1"/>
  <c r="K32" i="41"/>
  <c r="Q32" i="41" s="1"/>
  <c r="J33" i="41"/>
  <c r="J64" i="41" s="1"/>
  <c r="K30" i="42"/>
  <c r="J30" i="42" s="1"/>
  <c r="I32" i="42"/>
  <c r="S30" i="42"/>
  <c r="Q30" i="42"/>
  <c r="V30" i="42" s="1"/>
  <c r="U30" i="42"/>
  <c r="R30" i="42"/>
  <c r="T30" i="42"/>
  <c r="H32" i="41"/>
  <c r="I34" i="41"/>
  <c r="I46" i="41"/>
  <c r="H14" i="41"/>
  <c r="I14" i="41"/>
  <c r="S31" i="42"/>
  <c r="R31" i="42"/>
  <c r="Q31" i="42"/>
  <c r="V31" i="42" s="1"/>
  <c r="U31" i="42"/>
  <c r="T31" i="42"/>
  <c r="K31" i="42"/>
  <c r="J31" i="42" s="1"/>
  <c r="J20" i="42"/>
  <c r="Q18" i="42"/>
  <c r="K14" i="41" l="1"/>
  <c r="Q14" i="41" s="1"/>
  <c r="K34" i="41"/>
  <c r="J32" i="42"/>
  <c r="J46" i="42" s="1"/>
  <c r="J62" i="42" s="1"/>
  <c r="J75" i="42" s="1"/>
  <c r="J76" i="41" s="1"/>
  <c r="K46" i="41"/>
  <c r="S59" i="41" s="1"/>
  <c r="J14" i="41"/>
  <c r="K33" i="41"/>
  <c r="J33" i="42"/>
  <c r="J64" i="42" s="1"/>
  <c r="V18" i="42"/>
  <c r="K33" i="42" s="1"/>
  <c r="I47" i="41"/>
  <c r="I62" i="41"/>
  <c r="H32" i="42"/>
  <c r="I46" i="42"/>
  <c r="I34" i="42"/>
  <c r="H14" i="42"/>
  <c r="I14" i="42"/>
  <c r="K32" i="42"/>
  <c r="K47" i="41" l="1"/>
  <c r="J14" i="42"/>
  <c r="K62" i="41"/>
  <c r="K64" i="41" s="1"/>
  <c r="Q46" i="41"/>
  <c r="I75" i="41"/>
  <c r="I63" i="41"/>
  <c r="I64" i="41"/>
  <c r="K46" i="42"/>
  <c r="Q32" i="42"/>
  <c r="K34" i="42"/>
  <c r="K14" i="42"/>
  <c r="Q14" i="42" s="1"/>
  <c r="I47" i="42"/>
  <c r="I62" i="42"/>
  <c r="I33" i="42"/>
  <c r="I64" i="42" l="1"/>
  <c r="J9" i="40"/>
  <c r="E10" i="40" s="1"/>
  <c r="K75" i="41"/>
  <c r="Q75" i="41" s="1"/>
  <c r="K63" i="41"/>
  <c r="J10" i="40" s="1"/>
  <c r="Q62" i="41"/>
  <c r="I63" i="42"/>
  <c r="I75" i="42"/>
  <c r="I76" i="41" s="1"/>
  <c r="Q46" i="42"/>
  <c r="S59" i="42"/>
  <c r="K62" i="42"/>
  <c r="K47" i="42"/>
  <c r="K63" i="42" l="1"/>
  <c r="K75" i="42"/>
  <c r="Q62" i="42"/>
  <c r="K64" i="42"/>
  <c r="K76" i="41" l="1"/>
  <c r="Q76" i="41" s="1"/>
  <c r="Q75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Aude Petignier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C18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Aude Petignier:</t>
        </r>
        <r>
          <rPr>
            <sz val="9"/>
            <color indexed="81"/>
            <rFont val="Tahoma"/>
            <family val="2"/>
          </rPr>
          <t xml:space="preserve">
il est annoncé des CP dans la fiche gestion mais pas de CA</t>
        </r>
      </text>
    </comment>
    <comment ref="E18" authorId="1" shapeId="0" xr:uid="{00000000-0006-0000-0100-000004000000}">
      <text>
        <t>Aude Petignier:
pour les contrat de professionnalisation le tarif est de 6900 €
Pour les C Ap le NPEC est de 8300€ à ce jour</t>
      </text>
    </comment>
    <comment ref="B28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Pierre-Yves Péguy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C38" authorId="1" shapeId="0" xr:uid="{51ABA1A7-2875-4B23-B1A8-A96FD26B8FC5}">
      <text>
        <r>
          <rPr>
            <b/>
            <sz val="9"/>
            <color indexed="81"/>
            <rFont val="Tahoma"/>
            <charset val="1"/>
          </rPr>
          <t>Pierre-Yves Péguy:</t>
        </r>
        <r>
          <rPr>
            <sz val="9"/>
            <color indexed="81"/>
            <rFont val="Tahoma"/>
            <charset val="1"/>
          </rPr>
          <t xml:space="preserve">
TOIEC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<sst xmlns="http://schemas.openxmlformats.org/spreadsheetml/2006/main" count="565" uniqueCount="316">
  <si>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</si>
  <si>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</si>
  <si>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</si>
  <si>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</si>
  <si>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</si>
  <si>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</si>
  <si>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</si>
  <si>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</si>
  <si>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</si>
  <si>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</si>
  <si>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</si>
  <si>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</si>
  <si>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</si>
  <si>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</si>
  <si>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</si>
  <si>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</si>
  <si>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</si>
  <si>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</si>
  <si>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</si>
  <si>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</si>
  <si>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</si>
  <si>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</si>
  <si>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</si>
  <si>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</si>
  <si>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</si>
  <si>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</si>
  <si>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</si>
  <si>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</si>
  <si>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</si>
  <si>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</si>
  <si>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</si>
  <si>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</si>
  <si>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 31.1</t>
  </si>
  <si>
    <t>Organisation et management des unités de transport</t>
  </si>
  <si>
    <t>ALT</t>
  </si>
  <si>
    <t>Obligatoire</t>
  </si>
  <si>
    <t>CM</t>
  </si>
  <si>
    <t>EP 31.2</t>
  </si>
  <si>
    <t>Coûts de transport</t>
  </si>
  <si>
    <t>EP 31.3</t>
  </si>
  <si>
    <t>Contrôle et réglementation</t>
  </si>
  <si>
    <t>EP 31.4</t>
  </si>
  <si>
    <t>Droit privé des transports</t>
  </si>
  <si>
    <t>EP 31.5</t>
  </si>
  <si>
    <t>Douanes</t>
  </si>
  <si>
    <t>EP 31.6</t>
  </si>
  <si>
    <t>Economie des chaînes de transport internationales</t>
  </si>
  <si>
    <t>EP 32.1</t>
  </si>
  <si>
    <t>Gestion de la logistique globale et durable</t>
  </si>
  <si>
    <t>EP 32.2</t>
  </si>
  <si>
    <t>Systèmes d'information de la supply chain</t>
  </si>
  <si>
    <t>EP 32.3</t>
  </si>
  <si>
    <t>Lean manufacturing</t>
  </si>
  <si>
    <t>EP 32.4</t>
  </si>
  <si>
    <t>Gestion des entrepôts</t>
  </si>
  <si>
    <t>EP 32.5</t>
  </si>
  <si>
    <t>Logistique urbaine</t>
  </si>
  <si>
    <t>EP 32.6</t>
  </si>
  <si>
    <t>Logistique digitale</t>
  </si>
  <si>
    <t>EP 32.7</t>
  </si>
  <si>
    <t>Management des opérations de production</t>
  </si>
  <si>
    <t>EP 33.1</t>
  </si>
  <si>
    <t>Diagnostic financier et logistique</t>
  </si>
  <si>
    <t>EP 33.2</t>
  </si>
  <si>
    <t>Management des ressources humaines et leadership</t>
  </si>
  <si>
    <t>EP 33.3</t>
  </si>
  <si>
    <t>Stratégies des entreprises transport et écoystème d'affaires</t>
  </si>
  <si>
    <t>EP 34.2</t>
  </si>
  <si>
    <t>Management de projets</t>
  </si>
  <si>
    <t>PROJTD</t>
  </si>
  <si>
    <t>EP 34.3</t>
  </si>
  <si>
    <t>Management de projets (mise en application)</t>
  </si>
  <si>
    <t>PROJSUIV</t>
  </si>
  <si>
    <t>Autonomie : conduite de projets  = 25 heures par groupe</t>
  </si>
  <si>
    <t>EP 33.4</t>
  </si>
  <si>
    <t>Anglais TOIEC</t>
  </si>
  <si>
    <t>TD</t>
  </si>
  <si>
    <t>Préparation TOEIC</t>
  </si>
  <si>
    <t>EP 34.1</t>
  </si>
  <si>
    <t>Jeu d'entreprise</t>
  </si>
  <si>
    <t>EP 34.4</t>
  </si>
  <si>
    <t>Autonomie (travaux de groupes)</t>
  </si>
  <si>
    <t xml:space="preserve">Autonomie générale : travaux de groupe </t>
  </si>
  <si>
    <t>Semestre 2</t>
  </si>
  <si>
    <t>EP 41.1</t>
  </si>
  <si>
    <t>Techniques documentaires</t>
  </si>
  <si>
    <t>MEMTD</t>
  </si>
  <si>
    <t>Mut+ext</t>
  </si>
  <si>
    <t>VA transport ENTPE</t>
  </si>
  <si>
    <t>EP 41.2</t>
  </si>
  <si>
    <t>Méthodologie du mémoire</t>
  </si>
  <si>
    <t>EP 41.3</t>
  </si>
  <si>
    <t>Sorties pédagogiques</t>
  </si>
  <si>
    <t>SPSUIV</t>
  </si>
  <si>
    <t>EP 41.4</t>
  </si>
  <si>
    <t>Entreptise (tutorat)</t>
  </si>
  <si>
    <t>ALTSUIV</t>
  </si>
  <si>
    <t xml:space="preserve"> 8h par étudiant en S2</t>
  </si>
  <si>
    <t>EP 41.5</t>
  </si>
  <si>
    <t>Retour d'alternance (2 journées, en  mai et soutenance en sept)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</si>
  <si>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</si>
  <si>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</si>
  <si>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</si>
  <si>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</si>
  <si>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</si>
  <si>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</si>
  <si>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RNCP 34221</t>
  </si>
  <si>
    <t>Nom de la formation</t>
  </si>
  <si>
    <t>M2 Transport et Logistique Industrielle et Commerciale</t>
  </si>
  <si>
    <t xml:space="preserve">Nombre d'inscrits total
</t>
  </si>
  <si>
    <t>Composante</t>
  </si>
  <si>
    <t>SEG - Sciences Economiques et de Gestion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</si>
  <si>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</si>
  <si>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</si>
  <si>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</si>
  <si>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</si>
  <si>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</si>
  <si>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</si>
  <si>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</si>
  <si>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</si>
  <si>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</si>
  <si>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</si>
  <si>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</si>
  <si>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</si>
  <si>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</si>
  <si>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</si>
  <si>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</si>
  <si>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</si>
  <si>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</si>
  <si>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</si>
  <si>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</si>
  <si>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</si>
  <si>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</si>
  <si>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</si>
  <si>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</si>
  <si>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</si>
  <si>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</si>
  <si>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</si>
  <si>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</si>
  <si>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</si>
  <si>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</si>
  <si>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</si>
  <si>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</si>
  <si>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</si>
  <si>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</si>
  <si>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</si>
  <si>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</si>
  <si>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</si>
  <si>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</si>
  <si>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</si>
  <si>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</si>
  <si>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</si>
  <si>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</si>
  <si>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</si>
  <si>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</si>
  <si>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</si>
  <si>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</si>
  <si>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</si>
  <si>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</si>
  <si>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</si>
  <si>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</si>
  <si>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</si>
  <si>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</si>
  <si>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</si>
  <si>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</si>
  <si>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</si>
  <si>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</si>
  <si>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</si>
  <si>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</si>
  <si>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</si>
  <si>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</si>
  <si>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</si>
  <si>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</si>
  <si>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</si>
  <si>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</si>
  <si>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</si>
  <si>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</si>
  <si>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</si>
  <si>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</si>
  <si>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</si>
  <si>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</si>
  <si>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</si>
  <si>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</si>
  <si>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</si>
  <si>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</si>
  <si>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</si>
  <si>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</si>
  <si>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</si>
  <si>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</si>
  <si>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</si>
  <si>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</si>
  <si>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</si>
  <si>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</si>
  <si>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</si>
  <si>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</si>
  <si>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</si>
  <si>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</si>
  <si>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</si>
  <si>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</si>
  <si>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</si>
  <si>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</si>
  <si>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</si>
  <si>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</si>
  <si>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</si>
  <si>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</si>
  <si>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</si>
  <si>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</si>
  <si>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</si>
  <si>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</si>
  <si>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</si>
  <si>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</si>
  <si>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</si>
  <si>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</si>
  <si>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</si>
  <si>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</si>
  <si>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</si>
  <si>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</si>
  <si>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</si>
  <si>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</si>
  <si>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</si>
  <si>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</si>
  <si>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</si>
  <si>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</si>
  <si>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</si>
  <si>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</si>
  <si>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</si>
  <si>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</si>
  <si>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</si>
  <si>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</si>
  <si>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</si>
  <si>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</si>
  <si>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</si>
  <si>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</si>
  <si>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</si>
  <si>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</si>
  <si>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</si>
  <si>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</si>
  <si>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</si>
  <si>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</si>
  <si>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</si>
  <si>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</si>
  <si>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</si>
  <si>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</si>
  <si>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</si>
  <si>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</si>
  <si>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</si>
  <si>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</si>
  <si>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</si>
  <si>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</si>
  <si>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</si>
  <si>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</si>
  <si>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</si>
  <si>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</si>
  <si>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</si>
  <si>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</si>
  <si>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</si>
  <si>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</si>
  <si>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</si>
  <si>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</si>
  <si>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</si>
  <si>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</si>
  <si>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</si>
  <si>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</si>
  <si>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</si>
  <si>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</si>
  <si>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</si>
  <si>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</si>
  <si>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</si>
  <si>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</si>
  <si>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</si>
  <si>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</si>
  <si>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</si>
  <si>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</si>
  <si>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</si>
  <si>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</si>
  <si>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</si>
  <si>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</si>
  <si>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</si>
  <si>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</si>
  <si>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</si>
  <si>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</si>
  <si>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</si>
  <si>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</si>
  <si>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</si>
  <si>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</si>
  <si>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</si>
  <si>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</si>
  <si>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</si>
  <si>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</si>
  <si>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</si>
  <si>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</si>
  <si>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</si>
  <si>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</si>
  <si>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</si>
  <si>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</si>
  <si>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</si>
  <si>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</si>
  <si>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</si>
  <si>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</si>
  <si>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</si>
  <si>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Mémoire de recherche (CM)</t>
  </si>
  <si>
    <t>MEMCM</t>
  </si>
  <si>
    <t>Formation à distance</t>
  </si>
  <si>
    <t>FOAD</t>
  </si>
  <si>
    <t>Sortie pédagogique (suivi)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</si>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</sst>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4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4" xfId="10" applyFont="1" applyFill="1" applyBorder="1" applyAlignment="1">
      <alignment vertical="center"/>
    </xf>
    <xf numFmtId="0" fontId="12" fillId="2" borderId="21" xfId="10" applyFont="1" applyFill="1" applyBorder="1" applyAlignment="1" applyProtection="1">
      <alignment vertical="center"/>
      <protection locked="0"/>
    </xf>
    <xf numFmtId="0" fontId="7" fillId="11" borderId="4" xfId="0" applyFont="1" applyFill="1" applyBorder="1" applyAlignment="1" applyProtection="1">
      <alignment vertical="center"/>
      <protection locked="0"/>
    </xf>
    <xf numFmtId="168" fontId="7" fillId="11" borderId="4" xfId="0" applyNumberFormat="1" applyFont="1" applyFill="1" applyBorder="1" applyAlignment="1" applyProtection="1">
      <alignment vertical="center"/>
      <protection locked="0"/>
    </xf>
    <xf numFmtId="9" fontId="7" fillId="11" borderId="4" xfId="12" applyFont="1" applyFill="1" applyBorder="1" applyAlignment="1" applyProtection="1">
      <alignment horizontal="center" vertical="center"/>
      <protection locked="0"/>
    </xf>
    <xf numFmtId="0" fontId="17" fillId="11" borderId="21" xfId="10" applyFont="1" applyFill="1" applyBorder="1" applyAlignment="1" applyProtection="1">
      <alignment horizontal="center" vertical="center"/>
      <protection locked="0"/>
    </xf>
    <xf numFmtId="0" fontId="12" fillId="2" borderId="45" xfId="10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horizontal="center" vertical="center"/>
      <protection locked="0"/>
    </xf>
    <xf numFmtId="0" fontId="14" fillId="11" borderId="45" xfId="10" applyFont="1" applyFill="1" applyBorder="1" applyAlignment="1" applyProtection="1">
      <alignment horizontal="center" vertical="center"/>
      <protection locked="0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6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zoomScale="90" zoomScaleNormal="90" workbookViewId="0">
      <pane xSplit="3" ySplit="7" topLeftCell="R12" activePane="bottomRight" state="frozen"/>
      <selection pane="bottomRight" activeCell="U21" sqref="U21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399" t="s">
        <v>0</v>
      </c>
      <c r="I2" s="397" t="s">
        <v>1</v>
      </c>
      <c r="J2" s="398" t="s">
        <v>2</v>
      </c>
      <c r="K2" s="397" t="s">
        <v>3</v>
      </c>
      <c r="L2" s="397" t="s">
        <v>4</v>
      </c>
      <c r="M2" s="409"/>
    </row>
    <row r="3" spans="1:30" ht="18" customHeight="1">
      <c r="A3" s="10"/>
      <c r="G3" s="25" t="s">
        <v>5</v>
      </c>
      <c r="H3" s="396">
        <f>SUM(I3:L3)</f>
        <v>0</v>
      </c>
      <c r="I3" s="402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0</v>
      </c>
      <c r="J3" s="402">
        <f>SUMIF($G$8:$G$88,Paramétrage!$D$9,$AC$8:$AC$88)</f>
        <v>0</v>
      </c>
      <c r="K3" s="402">
        <f>SUMIFS($AC$8:$AC$88,$G$8:$G$88,Paramétrage!$D$15,Enseignements!$D$8:$D$88,"mixte")+SUMIFS($AC$8:$AC$88,$G$8:$G$88,Paramétrage!$D$15,Enseignements!$D$8:$D$88,"FI/FC")</f>
        <v>0</v>
      </c>
      <c r="L3" s="402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09"/>
    </row>
    <row r="4" spans="1:30" ht="18" customHeight="1">
      <c r="A4" s="10"/>
      <c r="G4" s="25" t="s">
        <v>6</v>
      </c>
      <c r="H4" s="396">
        <f>SUM(I4:L4)</f>
        <v>402</v>
      </c>
      <c r="I4" s="402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320</v>
      </c>
      <c r="J4" s="402">
        <f>SUMIF($G$8:$G$88,Paramétrage!$D$12,$AC$8:$AC$88)</f>
        <v>14</v>
      </c>
      <c r="K4" s="402">
        <f>SUMIFS($AC$8:$AC$88,$G$8:$G$88,Paramétrage!$D$15,Enseignements!$D$8:$D$88,"mixte")+SUMIFS($AC$8:$AC$88,$G$8:$G$88,Paramétrage!$D$15,Enseignements!$D$8:$D$88,"ALT")</f>
        <v>54</v>
      </c>
      <c r="L4" s="402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14</v>
      </c>
      <c r="M4" s="409"/>
      <c r="W4" s="400"/>
    </row>
    <row r="5" spans="1:30" ht="6.6" customHeight="1" thickBot="1">
      <c r="A5" s="10"/>
      <c r="B5" s="10"/>
    </row>
    <row r="6" spans="1:30" ht="68.45" customHeight="1">
      <c r="A6" s="12"/>
      <c r="B6" s="448" t="s">
        <v>7</v>
      </c>
      <c r="C6" s="452" t="s">
        <v>8</v>
      </c>
      <c r="D6" s="452" t="s">
        <v>9</v>
      </c>
      <c r="E6" s="454" t="s">
        <v>10</v>
      </c>
      <c r="F6" s="452" t="s">
        <v>11</v>
      </c>
      <c r="G6" s="440" t="s">
        <v>12</v>
      </c>
      <c r="H6" s="440" t="s">
        <v>13</v>
      </c>
      <c r="I6" s="454" t="s">
        <v>14</v>
      </c>
      <c r="J6" s="458" t="s">
        <v>15</v>
      </c>
      <c r="K6" s="450" t="s">
        <v>16</v>
      </c>
      <c r="L6" s="456" t="s">
        <v>17</v>
      </c>
      <c r="M6" s="456"/>
      <c r="N6" s="456"/>
      <c r="O6" s="431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60" t="s">
        <v>28</v>
      </c>
      <c r="AA6" s="456"/>
      <c r="AB6" s="431"/>
      <c r="AC6" s="445" t="s">
        <v>29</v>
      </c>
      <c r="AD6" s="431" t="s">
        <v>30</v>
      </c>
    </row>
    <row r="7" spans="1:30" ht="16.149999999999999" thickBot="1">
      <c r="A7" s="12"/>
      <c r="B7" s="449"/>
      <c r="C7" s="453"/>
      <c r="D7" s="453"/>
      <c r="E7" s="455"/>
      <c r="F7" s="453"/>
      <c r="G7" s="441"/>
      <c r="H7" s="441"/>
      <c r="I7" s="455"/>
      <c r="J7" s="459"/>
      <c r="K7" s="451"/>
      <c r="L7" s="457"/>
      <c r="M7" s="457"/>
      <c r="N7" s="457"/>
      <c r="O7" s="432"/>
      <c r="P7" s="417"/>
      <c r="Q7" s="14">
        <f t="shared" ref="Q7:Y7" si="0">Q48+Q89</f>
        <v>316</v>
      </c>
      <c r="R7" s="14">
        <f t="shared" si="0"/>
        <v>194</v>
      </c>
      <c r="S7" s="14">
        <f t="shared" si="0"/>
        <v>510</v>
      </c>
      <c r="T7" s="394">
        <f t="shared" si="0"/>
        <v>628.5</v>
      </c>
      <c r="U7" s="395">
        <f t="shared" si="0"/>
        <v>314.33333333333331</v>
      </c>
      <c r="V7" s="14">
        <f t="shared" si="0"/>
        <v>0</v>
      </c>
      <c r="W7" s="14">
        <f t="shared" si="0"/>
        <v>195.66666666666669</v>
      </c>
      <c r="X7" s="14">
        <f t="shared" si="0"/>
        <v>0</v>
      </c>
      <c r="Y7" s="14">
        <f t="shared" si="0"/>
        <v>510</v>
      </c>
      <c r="Z7" s="461"/>
      <c r="AA7" s="457"/>
      <c r="AB7" s="432"/>
      <c r="AC7" s="446"/>
      <c r="AD7" s="432"/>
    </row>
    <row r="8" spans="1:30" ht="15.6" customHeight="1">
      <c r="A8" s="442" t="s">
        <v>31</v>
      </c>
      <c r="B8" s="53" t="s">
        <v>32</v>
      </c>
      <c r="C8" s="33" t="s">
        <v>33</v>
      </c>
      <c r="D8" s="403" t="s">
        <v>34</v>
      </c>
      <c r="E8" s="50" t="s">
        <v>35</v>
      </c>
      <c r="F8" s="31"/>
      <c r="G8" s="29" t="s">
        <v>36</v>
      </c>
      <c r="H8" s="41">
        <v>12</v>
      </c>
      <c r="I8" s="401">
        <v>22</v>
      </c>
      <c r="J8" s="56">
        <v>24</v>
      </c>
      <c r="K8" s="51"/>
      <c r="L8" s="438"/>
      <c r="M8" s="438"/>
      <c r="N8" s="438"/>
      <c r="O8" s="439"/>
      <c r="P8" s="364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12</v>
      </c>
      <c r="R8" s="57"/>
      <c r="S8" s="15">
        <f>IF(OR(G8="",K8="Mut+ext"),0,IF(ISERROR(Q8+R8)=TRUE,Q8,Q8+R8))</f>
        <v>12</v>
      </c>
      <c r="T8" s="58">
        <f>IF(G8="",0,IF(ISERROR(R8+Q8*VLOOKUP(G8,Paramétrage!$D$6:$F$27,3,0))=TRUE,S8,R8+Q8*VLOOKUP(G8,Paramétrage!$D$6:$F$27,3,0)))</f>
        <v>18</v>
      </c>
      <c r="U8" s="38"/>
      <c r="V8" s="38"/>
      <c r="W8" s="38">
        <v>12</v>
      </c>
      <c r="X8" s="38"/>
      <c r="Y8" s="365">
        <f>SUM(U8:X8)</f>
        <v>12</v>
      </c>
      <c r="Z8" s="462"/>
      <c r="AA8" s="438"/>
      <c r="AB8" s="439"/>
      <c r="AC8" s="59">
        <f>IF(B8="",0,IF(E8="",0,IF(SUMIF(B8:B27,B8,I8:I27)=0,0,IF(E8="Obligatoire",AD8/I8,IF(F8="",AD8/SUMIF(B8:B27,B8,I8:I27),AD8/(SUMIF(B8:B27,B8,I8:I27)/F8))))))</f>
        <v>12</v>
      </c>
      <c r="AD8" s="60">
        <f>H8*I8</f>
        <v>264</v>
      </c>
    </row>
    <row r="9" spans="1:30">
      <c r="A9" s="443"/>
      <c r="B9" s="53" t="s">
        <v>37</v>
      </c>
      <c r="C9" s="33" t="s">
        <v>38</v>
      </c>
      <c r="D9" s="33" t="s">
        <v>34</v>
      </c>
      <c r="E9" s="50" t="s">
        <v>35</v>
      </c>
      <c r="F9" s="31"/>
      <c r="G9" s="32" t="s">
        <v>36</v>
      </c>
      <c r="H9" s="42">
        <v>12</v>
      </c>
      <c r="I9" s="383">
        <v>22</v>
      </c>
      <c r="J9" s="46">
        <v>24</v>
      </c>
      <c r="K9" s="35"/>
      <c r="L9" s="435"/>
      <c r="M9" s="435"/>
      <c r="N9" s="435"/>
      <c r="O9" s="436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12</v>
      </c>
      <c r="R9" s="34"/>
      <c r="S9" s="15">
        <f t="shared" ref="S9:S70" si="1">IF(OR(G9="",K9="Mut+ext"),0,IF(ISERROR(Q9+R9)=TRUE,Q9,Q9+R9))</f>
        <v>12</v>
      </c>
      <c r="T9" s="28">
        <f>IF(G9="",0,IF(ISERROR(R9+Q9*VLOOKUP(G9,Paramétrage!$D$6:$F$27,3,0))=TRUE,S9,R9+Q9*VLOOKUP(G9,Paramétrage!$D$6:$F$27,3,0)))</f>
        <v>18</v>
      </c>
      <c r="U9" s="38"/>
      <c r="V9" s="38"/>
      <c r="W9" s="38">
        <v>12</v>
      </c>
      <c r="X9" s="38"/>
      <c r="Y9" s="365">
        <f t="shared" ref="Y9:Y27" si="2">SUM(U9:X9)</f>
        <v>12</v>
      </c>
      <c r="Z9" s="437"/>
      <c r="AA9" s="435"/>
      <c r="AB9" s="436"/>
      <c r="AC9" s="27">
        <f>IF(B9="",0,IF(E9="",0,IF(SUMIF(B8:B27,B9,I8:I27)=0,0,IF(E9="Obligatoire",AD9/I9,IF(F9="",AD9/SUMIF(B8:B27,B9,I8:I27),AD9/(SUMIF(B8:B27,B9,I8:I27)/F9))))))</f>
        <v>12</v>
      </c>
      <c r="AD9" s="16">
        <f>H9*I9</f>
        <v>264</v>
      </c>
    </row>
    <row r="10" spans="1:30">
      <c r="A10" s="443"/>
      <c r="B10" s="53" t="s">
        <v>39</v>
      </c>
      <c r="C10" s="30" t="s">
        <v>40</v>
      </c>
      <c r="D10" s="33" t="s">
        <v>34</v>
      </c>
      <c r="E10" s="50" t="s">
        <v>35</v>
      </c>
      <c r="F10" s="31"/>
      <c r="G10" s="32" t="s">
        <v>36</v>
      </c>
      <c r="H10" s="42">
        <v>15</v>
      </c>
      <c r="I10" s="383">
        <v>22</v>
      </c>
      <c r="J10" s="46">
        <v>24</v>
      </c>
      <c r="K10" s="35"/>
      <c r="L10" s="435"/>
      <c r="M10" s="435"/>
      <c r="N10" s="435"/>
      <c r="O10" s="436"/>
      <c r="P10" s="36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15</v>
      </c>
      <c r="R10" s="34"/>
      <c r="S10" s="15">
        <f t="shared" si="1"/>
        <v>15</v>
      </c>
      <c r="T10" s="28">
        <f>IF(G10="",0,IF(ISERROR(R10+Q10*VLOOKUP(G10,Paramétrage!$D$6:$F$27,3,0))=TRUE,S10,R10+Q10*VLOOKUP(G10,Paramétrage!$D$6:$F$27,3,0)))</f>
        <v>22.5</v>
      </c>
      <c r="U10" s="38"/>
      <c r="V10" s="38"/>
      <c r="W10" s="38">
        <v>15</v>
      </c>
      <c r="X10" s="38"/>
      <c r="Y10" s="365">
        <f t="shared" si="2"/>
        <v>15</v>
      </c>
      <c r="Z10" s="437"/>
      <c r="AA10" s="435"/>
      <c r="AB10" s="436"/>
      <c r="AC10" s="27">
        <f>IF(B10="",0,IF(E10="",0,IF(SUMIF(B8:B27,B10,I8:I27)=0,0,IF(E10="Obligatoire",AD10/I10,IF(F10="",AD10/SUMIF(B8:B27,B10,I8:I27),AD10/(SUMIF(B8:B27,B10,I8:I27)/F10))))))</f>
        <v>15</v>
      </c>
      <c r="AD10" s="16">
        <f>H10*I10</f>
        <v>330</v>
      </c>
    </row>
    <row r="11" spans="1:30">
      <c r="A11" s="443"/>
      <c r="B11" s="53" t="s">
        <v>41</v>
      </c>
      <c r="C11" s="30" t="s">
        <v>42</v>
      </c>
      <c r="D11" s="33" t="s">
        <v>34</v>
      </c>
      <c r="E11" s="50" t="s">
        <v>35</v>
      </c>
      <c r="F11" s="31"/>
      <c r="G11" s="32" t="s">
        <v>36</v>
      </c>
      <c r="H11" s="42">
        <v>15</v>
      </c>
      <c r="I11" s="383">
        <v>22</v>
      </c>
      <c r="J11" s="46">
        <v>24</v>
      </c>
      <c r="K11" s="35"/>
      <c r="L11" s="435"/>
      <c r="M11" s="435"/>
      <c r="N11" s="435"/>
      <c r="O11" s="436"/>
      <c r="P11" s="36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15</v>
      </c>
      <c r="R11" s="34"/>
      <c r="S11" s="15">
        <f t="shared" si="1"/>
        <v>15</v>
      </c>
      <c r="T11" s="28">
        <f>IF(G11="",0,IF(ISERROR(R11+Q11*VLOOKUP(G11,Paramétrage!$D$6:$F$27,3,0))=TRUE,S11,R11+Q11*VLOOKUP(G11,Paramétrage!$D$6:$F$27,3,0)))</f>
        <v>22.5</v>
      </c>
      <c r="U11" s="38">
        <v>15</v>
      </c>
      <c r="V11" s="38"/>
      <c r="W11" s="38"/>
      <c r="X11" s="38"/>
      <c r="Y11" s="365">
        <f t="shared" si="2"/>
        <v>15</v>
      </c>
      <c r="Z11" s="437"/>
      <c r="AA11" s="435"/>
      <c r="AB11" s="436"/>
      <c r="AC11" s="27">
        <f>IF(B11="",0,IF(E11="",0,IF(SUMIF(B8:B27,B11,I8:I27)=0,0,IF(E11="Obligatoire",AD11/I11,IF(F11="",AD11/SUMIF(B8:B27,B11,I8:I27),AD11/(SUMIF(B8:B27,B11,I8:I27)/F11))))))</f>
        <v>15</v>
      </c>
      <c r="AD11" s="16">
        <f>H11*I11</f>
        <v>330</v>
      </c>
    </row>
    <row r="12" spans="1:30">
      <c r="A12" s="443"/>
      <c r="B12" s="53" t="s">
        <v>43</v>
      </c>
      <c r="C12" s="30" t="s">
        <v>44</v>
      </c>
      <c r="D12" s="33" t="s">
        <v>34</v>
      </c>
      <c r="E12" s="50" t="s">
        <v>35</v>
      </c>
      <c r="F12" s="31"/>
      <c r="G12" s="32" t="s">
        <v>36</v>
      </c>
      <c r="H12" s="42">
        <v>12</v>
      </c>
      <c r="I12" s="383">
        <v>22</v>
      </c>
      <c r="J12" s="46">
        <v>24</v>
      </c>
      <c r="K12" s="35"/>
      <c r="L12" s="435"/>
      <c r="M12" s="435"/>
      <c r="N12" s="435"/>
      <c r="O12" s="436"/>
      <c r="P12" s="36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12</v>
      </c>
      <c r="R12" s="34"/>
      <c r="S12" s="15">
        <f t="shared" si="1"/>
        <v>12</v>
      </c>
      <c r="T12" s="28">
        <f>IF(G12="",0,IF(ISERROR(R12+Q12*VLOOKUP(G12,Paramétrage!$D$6:$F$27,3,0))=TRUE,S12,R12+Q12*VLOOKUP(G12,Paramétrage!$D$6:$F$27,3,0)))</f>
        <v>18</v>
      </c>
      <c r="U12" s="38"/>
      <c r="V12" s="38"/>
      <c r="W12" s="38">
        <v>12</v>
      </c>
      <c r="X12" s="38"/>
      <c r="Y12" s="365">
        <f t="shared" si="2"/>
        <v>12</v>
      </c>
      <c r="Z12" s="437"/>
      <c r="AA12" s="435"/>
      <c r="AB12" s="436"/>
      <c r="AC12" s="27">
        <f>IF(B12="",0,IF(E12="",0,IF(SUMIF(B9:B27,B12,I9:I27)=0,0,IF(E12="Obligatoire",AD12/I12,IF(F12="",AD12/SUMIF(B9:B27,B12,I9:I27),AD12/(SUMIF(B9:B27,B12,I9:I27)/F12))))))</f>
        <v>12</v>
      </c>
      <c r="AD12" s="16">
        <f t="shared" ref="AD12:AD23" si="3">H12*I12</f>
        <v>264</v>
      </c>
    </row>
    <row r="13" spans="1:30">
      <c r="A13" s="443"/>
      <c r="B13" s="53" t="s">
        <v>45</v>
      </c>
      <c r="C13" s="30" t="s">
        <v>46</v>
      </c>
      <c r="D13" s="33" t="s">
        <v>34</v>
      </c>
      <c r="E13" s="50" t="s">
        <v>35</v>
      </c>
      <c r="F13" s="31"/>
      <c r="G13" s="32" t="s">
        <v>36</v>
      </c>
      <c r="H13" s="42">
        <v>20</v>
      </c>
      <c r="I13" s="383">
        <v>22</v>
      </c>
      <c r="J13" s="46">
        <v>24</v>
      </c>
      <c r="K13" s="35"/>
      <c r="L13" s="435"/>
      <c r="M13" s="435"/>
      <c r="N13" s="435"/>
      <c r="O13" s="436"/>
      <c r="P13" s="36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20</v>
      </c>
      <c r="R13" s="34"/>
      <c r="S13" s="15">
        <f t="shared" si="1"/>
        <v>20</v>
      </c>
      <c r="T13" s="28">
        <f>IF(G13="",0,IF(ISERROR(R13+Q13*VLOOKUP(G13,Paramétrage!$D$6:$F$27,3,0))=TRUE,S13,R13+Q13*VLOOKUP(G13,Paramétrage!$D$6:$F$27,3,0)))</f>
        <v>30</v>
      </c>
      <c r="U13" s="38">
        <v>20</v>
      </c>
      <c r="V13" s="38"/>
      <c r="W13" s="38"/>
      <c r="X13" s="38"/>
      <c r="Y13" s="365">
        <f t="shared" si="2"/>
        <v>20</v>
      </c>
      <c r="Z13" s="437"/>
      <c r="AA13" s="435"/>
      <c r="AB13" s="436"/>
      <c r="AC13" s="27">
        <f>IF(B13="",0,IF(E13="",0,IF(SUMIF(B10:B28,B13,I10:I28)=0,0,IF(E13="Obligatoire",AD13/I13,IF(F13="",AD13/SUMIF(B10:B28,B13,I10:I28),AD13/(SUMIF(B10:B28,B13,I10:I28)/F13))))))</f>
        <v>20</v>
      </c>
      <c r="AD13" s="16">
        <f t="shared" si="3"/>
        <v>440</v>
      </c>
    </row>
    <row r="14" spans="1:30">
      <c r="A14" s="443"/>
      <c r="B14" s="53" t="s">
        <v>47</v>
      </c>
      <c r="C14" s="33" t="s">
        <v>48</v>
      </c>
      <c r="D14" s="33" t="s">
        <v>34</v>
      </c>
      <c r="E14" s="50" t="s">
        <v>35</v>
      </c>
      <c r="F14" s="31"/>
      <c r="G14" s="32" t="s">
        <v>36</v>
      </c>
      <c r="H14" s="42">
        <v>18</v>
      </c>
      <c r="I14" s="383">
        <v>22</v>
      </c>
      <c r="J14" s="46">
        <v>24</v>
      </c>
      <c r="K14" s="35"/>
      <c r="L14" s="435"/>
      <c r="M14" s="435"/>
      <c r="N14" s="435"/>
      <c r="O14" s="436"/>
      <c r="P14" s="36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18</v>
      </c>
      <c r="R14" s="34"/>
      <c r="S14" s="15">
        <f t="shared" si="1"/>
        <v>18</v>
      </c>
      <c r="T14" s="28">
        <f>IF(G14="",0,IF(ISERROR(R14+Q14*VLOOKUP(G14,Paramétrage!$D$6:$F$27,3,0))=TRUE,S14,R14+Q14*VLOOKUP(G14,Paramétrage!$D$6:$F$27,3,0)))</f>
        <v>27</v>
      </c>
      <c r="U14" s="430">
        <v>18</v>
      </c>
      <c r="V14" s="38"/>
      <c r="W14" s="38"/>
      <c r="X14" s="38"/>
      <c r="Y14" s="365">
        <f t="shared" si="2"/>
        <v>18</v>
      </c>
      <c r="Z14" s="437"/>
      <c r="AA14" s="435"/>
      <c r="AB14" s="436"/>
      <c r="AC14" s="27">
        <f>IF(B14="",0,IF(E14="",0,IF(SUMIF(B11:B29,B14,I11:I29)=0,0,IF(E14="Obligatoire",AD14/I14,IF(F14="",AD14/SUMIF(B11:B29,B14,I11:I29),AD14/(SUMIF(B11:B29,B14,I11:I29)/F14))))))</f>
        <v>18</v>
      </c>
      <c r="AD14" s="16">
        <f t="shared" ref="AD14:AD16" si="4">H14*I14</f>
        <v>396</v>
      </c>
    </row>
    <row r="15" spans="1:30">
      <c r="A15" s="443"/>
      <c r="B15" s="53" t="s">
        <v>49</v>
      </c>
      <c r="C15" s="33" t="s">
        <v>50</v>
      </c>
      <c r="D15" s="33" t="s">
        <v>34</v>
      </c>
      <c r="E15" s="50" t="s">
        <v>35</v>
      </c>
      <c r="F15" s="31"/>
      <c r="G15" s="32" t="s">
        <v>36</v>
      </c>
      <c r="H15" s="42">
        <v>12</v>
      </c>
      <c r="I15" s="383">
        <v>22</v>
      </c>
      <c r="J15" s="46">
        <v>24</v>
      </c>
      <c r="K15" s="35"/>
      <c r="L15" s="435"/>
      <c r="M15" s="435"/>
      <c r="N15" s="435"/>
      <c r="O15" s="436"/>
      <c r="P15" s="364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12</v>
      </c>
      <c r="R15" s="34"/>
      <c r="S15" s="15">
        <f t="shared" si="1"/>
        <v>12</v>
      </c>
      <c r="T15" s="28">
        <f>IF(G15="",0,IF(ISERROR(R15+Q15*VLOOKUP(G15,Paramétrage!$D$6:$F$27,3,0))=TRUE,S15,R15+Q15*VLOOKUP(G15,Paramétrage!$D$6:$F$27,3,0)))</f>
        <v>18</v>
      </c>
      <c r="U15" s="38">
        <v>12</v>
      </c>
      <c r="V15" s="38"/>
      <c r="W15" s="38"/>
      <c r="X15" s="38"/>
      <c r="Y15" s="365">
        <f t="shared" si="2"/>
        <v>12</v>
      </c>
      <c r="Z15" s="437"/>
      <c r="AA15" s="435"/>
      <c r="AB15" s="436"/>
      <c r="AC15" s="27">
        <f>IF(B15="",0,IF(E15="",0,IF(SUMIF(B12:B30,B15,I12:I30)=0,0,IF(E15="Obligatoire",AD15/I15,IF(F15="",AD15/SUMIF(B12:B30,B15,I12:I30),AD15/(SUMIF(B12:B30,B15,I12:I30)/F15))))))</f>
        <v>12</v>
      </c>
      <c r="AD15" s="16">
        <f t="shared" si="4"/>
        <v>264</v>
      </c>
    </row>
    <row r="16" spans="1:30">
      <c r="A16" s="443"/>
      <c r="B16" s="53" t="s">
        <v>51</v>
      </c>
      <c r="C16" s="33" t="s">
        <v>52</v>
      </c>
      <c r="D16" s="33" t="s">
        <v>34</v>
      </c>
      <c r="E16" s="50" t="s">
        <v>35</v>
      </c>
      <c r="F16" s="31"/>
      <c r="G16" s="32" t="s">
        <v>36</v>
      </c>
      <c r="H16" s="42">
        <v>12</v>
      </c>
      <c r="I16" s="383">
        <v>22</v>
      </c>
      <c r="J16" s="46">
        <v>24</v>
      </c>
      <c r="K16" s="35"/>
      <c r="L16" s="435"/>
      <c r="M16" s="435"/>
      <c r="N16" s="435"/>
      <c r="O16" s="436"/>
      <c r="P16" s="36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12</v>
      </c>
      <c r="R16" s="34"/>
      <c r="S16" s="15">
        <f t="shared" si="1"/>
        <v>12</v>
      </c>
      <c r="T16" s="28">
        <f>IF(G16="",0,IF(ISERROR(R16+Q16*VLOOKUP(G16,Paramétrage!$D$6:$F$27,3,0))=TRUE,S16,R16+Q16*VLOOKUP(G16,Paramétrage!$D$6:$F$27,3,0)))</f>
        <v>18</v>
      </c>
      <c r="U16" s="38">
        <v>12</v>
      </c>
      <c r="V16" s="38"/>
      <c r="W16" s="38"/>
      <c r="X16" s="38"/>
      <c r="Y16" s="365">
        <f t="shared" si="2"/>
        <v>12</v>
      </c>
      <c r="Z16" s="437"/>
      <c r="AA16" s="435"/>
      <c r="AB16" s="436"/>
      <c r="AC16" s="27">
        <f>IF(B16="",0,IF(E16="",0,IF(SUMIF(B13:B38,B16,I13:I38)=0,0,IF(E16="Obligatoire",AD16/I16,IF(F16="",AD16/SUMIF(B13:B38,B16,I13:I38),AD16/(SUMIF(B13:B38,B16,I13:I38)/F16))))))</f>
        <v>12</v>
      </c>
      <c r="AD16" s="16">
        <f t="shared" si="4"/>
        <v>264</v>
      </c>
    </row>
    <row r="17" spans="1:30">
      <c r="A17" s="443"/>
      <c r="B17" s="53" t="s">
        <v>53</v>
      </c>
      <c r="C17" s="33" t="s">
        <v>54</v>
      </c>
      <c r="D17" s="33" t="s">
        <v>34</v>
      </c>
      <c r="E17" s="50" t="s">
        <v>35</v>
      </c>
      <c r="F17" s="31"/>
      <c r="G17" s="32" t="s">
        <v>36</v>
      </c>
      <c r="H17" s="42">
        <v>12</v>
      </c>
      <c r="I17" s="383">
        <v>22</v>
      </c>
      <c r="J17" s="46">
        <v>24</v>
      </c>
      <c r="K17" s="35"/>
      <c r="L17" s="435"/>
      <c r="M17" s="435"/>
      <c r="N17" s="435"/>
      <c r="O17" s="436"/>
      <c r="P17" s="364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12</v>
      </c>
      <c r="R17" s="34"/>
      <c r="S17" s="15">
        <f t="shared" si="1"/>
        <v>12</v>
      </c>
      <c r="T17" s="28">
        <f>IF(G17="",0,IF(ISERROR(R17+Q17*VLOOKUP(G17,Paramétrage!$D$6:$F$27,3,0))=TRUE,S17,R17+Q17*VLOOKUP(G17,Paramétrage!$D$6:$F$27,3,0)))</f>
        <v>18</v>
      </c>
      <c r="U17" s="38"/>
      <c r="V17" s="38"/>
      <c r="W17" s="38">
        <v>12</v>
      </c>
      <c r="X17" s="38"/>
      <c r="Y17" s="365">
        <f t="shared" si="2"/>
        <v>12</v>
      </c>
      <c r="Z17" s="437"/>
      <c r="AA17" s="435"/>
      <c r="AB17" s="436"/>
      <c r="AC17" s="27">
        <f>IF(B17="",0,IF(E17="",0,IF(SUMIF(B11:B29,B17,I11:I29)=0,0,IF(E17="Obligatoire",AD17/I17,IF(F17="",AD17/SUMIF(B11:B29,B17,I11:I29),AD17/(SUMIF(B11:B29,B17,I11:I29)/F17))))))</f>
        <v>12</v>
      </c>
      <c r="AD17" s="16">
        <f t="shared" si="3"/>
        <v>264</v>
      </c>
    </row>
    <row r="18" spans="1:30">
      <c r="A18" s="443"/>
      <c r="B18" s="53" t="s">
        <v>55</v>
      </c>
      <c r="C18" s="33" t="s">
        <v>56</v>
      </c>
      <c r="D18" s="33" t="s">
        <v>34</v>
      </c>
      <c r="E18" s="50" t="s">
        <v>35</v>
      </c>
      <c r="F18" s="31"/>
      <c r="G18" s="32" t="s">
        <v>36</v>
      </c>
      <c r="H18" s="42">
        <v>12</v>
      </c>
      <c r="I18" s="383">
        <v>22</v>
      </c>
      <c r="J18" s="46">
        <v>24</v>
      </c>
      <c r="K18" s="35"/>
      <c r="L18" s="435"/>
      <c r="M18" s="435"/>
      <c r="N18" s="435"/>
      <c r="O18" s="436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12</v>
      </c>
      <c r="R18" s="34"/>
      <c r="S18" s="15">
        <f t="shared" si="1"/>
        <v>12</v>
      </c>
      <c r="T18" s="28">
        <f>IF(G18="",0,IF(ISERROR(R18+Q18*VLOOKUP(G18,Paramétrage!$D$6:$F$27,3,0))=TRUE,S18,R18+Q18*VLOOKUP(G18,Paramétrage!$D$6:$F$27,3,0)))</f>
        <v>18</v>
      </c>
      <c r="U18" s="38"/>
      <c r="V18" s="38"/>
      <c r="W18" s="38">
        <v>12</v>
      </c>
      <c r="X18" s="38"/>
      <c r="Y18" s="365">
        <f t="shared" si="2"/>
        <v>12</v>
      </c>
      <c r="Z18" s="437"/>
      <c r="AA18" s="435"/>
      <c r="AB18" s="436"/>
      <c r="AC18" s="27">
        <f>IF(B18="",0,IF(E18="",0,IF(SUMIF(B12:B42,B18,I12:I42)=0,0,IF(E18="Obligatoire",AD18/I18,IF(F18="",AD18/SUMIF(B12:B42,B18,I12:I42),AD18/(SUMIF(B12:B42,B18,I12:I42)/F18))))))</f>
        <v>12</v>
      </c>
      <c r="AD18" s="16">
        <f t="shared" si="3"/>
        <v>264</v>
      </c>
    </row>
    <row r="19" spans="1:30">
      <c r="A19" s="443"/>
      <c r="B19" s="53" t="s">
        <v>57</v>
      </c>
      <c r="C19" s="33" t="s">
        <v>58</v>
      </c>
      <c r="D19" s="33" t="s">
        <v>34</v>
      </c>
      <c r="E19" s="50" t="s">
        <v>35</v>
      </c>
      <c r="F19" s="31"/>
      <c r="G19" s="32" t="s">
        <v>36</v>
      </c>
      <c r="H19" s="42">
        <v>12</v>
      </c>
      <c r="I19" s="383">
        <v>22</v>
      </c>
      <c r="J19" s="46">
        <v>24</v>
      </c>
      <c r="K19" s="35"/>
      <c r="L19" s="435"/>
      <c r="M19" s="435"/>
      <c r="N19" s="435"/>
      <c r="O19" s="436"/>
      <c r="P19" s="36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12</v>
      </c>
      <c r="R19" s="34"/>
      <c r="S19" s="15">
        <f t="shared" si="1"/>
        <v>12</v>
      </c>
      <c r="T19" s="28">
        <f>IF(G19="",0,IF(ISERROR(R19+Q19*VLOOKUP(G19,Paramétrage!$D$6:$F$27,3,0))=TRUE,S19,R19+Q19*VLOOKUP(G19,Paramétrage!$D$6:$F$27,3,0)))</f>
        <v>18</v>
      </c>
      <c r="U19" s="38"/>
      <c r="V19" s="38"/>
      <c r="W19" s="38">
        <v>12</v>
      </c>
      <c r="X19" s="38"/>
      <c r="Y19" s="365">
        <f>SUM(U19:X19)</f>
        <v>12</v>
      </c>
      <c r="Z19" s="437"/>
      <c r="AA19" s="435"/>
      <c r="AB19" s="436"/>
      <c r="AC19" s="27">
        <f>IF(B19="",0,IF(E19="",0,IF(SUMIF(B13:B43,B19,I13:I43)=0,0,IF(E19="Obligatoire",AD19/I19,IF(F19="",AD19/SUMIF(B13:B43,B19,I13:I43),AD19/(SUMIF(B13:B43,B19,I13:I43)/F19))))))</f>
        <v>12</v>
      </c>
      <c r="AD19" s="16">
        <f t="shared" si="3"/>
        <v>264</v>
      </c>
    </row>
    <row r="20" spans="1:30">
      <c r="A20" s="443"/>
      <c r="B20" s="53" t="s">
        <v>59</v>
      </c>
      <c r="C20" s="30" t="s">
        <v>60</v>
      </c>
      <c r="D20" s="33" t="s">
        <v>34</v>
      </c>
      <c r="E20" s="50" t="s">
        <v>35</v>
      </c>
      <c r="F20" s="31"/>
      <c r="G20" s="32" t="s">
        <v>36</v>
      </c>
      <c r="H20" s="42">
        <v>18</v>
      </c>
      <c r="I20" s="383">
        <v>22</v>
      </c>
      <c r="J20" s="46">
        <v>24</v>
      </c>
      <c r="K20" s="35"/>
      <c r="L20" s="435"/>
      <c r="M20" s="435"/>
      <c r="N20" s="435"/>
      <c r="O20" s="436"/>
      <c r="P20" s="364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18</v>
      </c>
      <c r="R20" s="34"/>
      <c r="S20" s="15">
        <f t="shared" si="1"/>
        <v>18</v>
      </c>
      <c r="T20" s="28">
        <f>IF(G20="",0,IF(ISERROR(R20+Q20*VLOOKUP(G20,Paramétrage!$D$6:$F$27,3,0))=TRUE,S20,R20+Q20*VLOOKUP(G20,Paramétrage!$D$6:$F$27,3,0)))</f>
        <v>27</v>
      </c>
      <c r="U20" s="38">
        <v>18</v>
      </c>
      <c r="V20" s="38"/>
      <c r="W20" s="38"/>
      <c r="X20" s="38"/>
      <c r="Y20" s="365">
        <f t="shared" si="2"/>
        <v>18</v>
      </c>
      <c r="Z20" s="437"/>
      <c r="AA20" s="435"/>
      <c r="AB20" s="436"/>
      <c r="AC20" s="27">
        <f>IF(B20="",0,IF(E20="",0,IF(SUMIF(B17:B44,B20,I17:I44)=0,0,IF(E20="Obligatoire",AD20/I20,IF(F20="",AD20/SUMIF(B17:B44,B20,I17:I44),AD20/(SUMIF(B17:B44,B20,I17:I44)/F20))))))</f>
        <v>18</v>
      </c>
      <c r="AD20" s="16">
        <f t="shared" si="3"/>
        <v>396</v>
      </c>
    </row>
    <row r="21" spans="1:30">
      <c r="A21" s="443"/>
      <c r="B21" s="53" t="s">
        <v>61</v>
      </c>
      <c r="C21" s="30" t="s">
        <v>62</v>
      </c>
      <c r="D21" s="33" t="s">
        <v>34</v>
      </c>
      <c r="E21" s="50" t="s">
        <v>35</v>
      </c>
      <c r="F21" s="31"/>
      <c r="G21" s="32" t="s">
        <v>36</v>
      </c>
      <c r="H21" s="42">
        <v>15</v>
      </c>
      <c r="I21" s="383">
        <v>22</v>
      </c>
      <c r="J21" s="46">
        <v>24</v>
      </c>
      <c r="K21" s="35"/>
      <c r="L21" s="435"/>
      <c r="M21" s="435"/>
      <c r="N21" s="435"/>
      <c r="O21" s="436"/>
      <c r="P21" s="364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15</v>
      </c>
      <c r="R21" s="414"/>
      <c r="S21" s="15">
        <f t="shared" si="1"/>
        <v>15</v>
      </c>
      <c r="T21" s="28">
        <f>IF(G21="",0,IF(ISERROR(R21+Q21*VLOOKUP(G21,Paramétrage!$D$6:$F$27,3,0))=TRUE,S21,R21+Q21*VLOOKUP(G21,Paramétrage!$D$6:$F$27,3,0)))</f>
        <v>22.5</v>
      </c>
      <c r="U21" s="415"/>
      <c r="V21" s="411"/>
      <c r="W21" s="38">
        <v>15</v>
      </c>
      <c r="X21" s="38"/>
      <c r="Y21" s="365">
        <f t="shared" si="2"/>
        <v>15</v>
      </c>
      <c r="Z21" s="437"/>
      <c r="AA21" s="435"/>
      <c r="AB21" s="436"/>
      <c r="AC21" s="27">
        <f>IF(B21="",0,IF(E21="",0,IF(SUMIF(B18:B45,B21,I18:I45)=0,0,IF(E21="Obligatoire",AD21/I21,IF(F21="",AD21/SUMIF(B18:B45,B21,I18:I45),AD21/(SUMIF(B18:B45,B21,I18:I45)/F21))))))</f>
        <v>15</v>
      </c>
      <c r="AD21" s="16">
        <f t="shared" si="3"/>
        <v>330</v>
      </c>
    </row>
    <row r="22" spans="1:30">
      <c r="A22" s="443"/>
      <c r="B22" s="53" t="s">
        <v>63</v>
      </c>
      <c r="C22" s="30" t="s">
        <v>64</v>
      </c>
      <c r="D22" s="33" t="s">
        <v>34</v>
      </c>
      <c r="E22" s="50" t="s">
        <v>35</v>
      </c>
      <c r="F22" s="31"/>
      <c r="G22" s="32" t="s">
        <v>36</v>
      </c>
      <c r="H22" s="42">
        <v>20</v>
      </c>
      <c r="I22" s="383">
        <v>22</v>
      </c>
      <c r="J22" s="46">
        <v>24</v>
      </c>
      <c r="K22" s="35"/>
      <c r="L22" s="435"/>
      <c r="M22" s="435"/>
      <c r="N22" s="435"/>
      <c r="O22" s="436"/>
      <c r="P22" s="364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20</v>
      </c>
      <c r="R22" s="34"/>
      <c r="S22" s="15">
        <f t="shared" si="1"/>
        <v>20</v>
      </c>
      <c r="T22" s="28">
        <f>IF(G22="",0,IF(ISERROR(R22+Q22*VLOOKUP(G22,Paramétrage!$D$6:$F$27,3,0))=TRUE,S22,R22+Q22*VLOOKUP(G22,Paramétrage!$D$6:$F$27,3,0)))</f>
        <v>30</v>
      </c>
      <c r="U22" s="38"/>
      <c r="V22" s="38"/>
      <c r="W22" s="38">
        <v>20</v>
      </c>
      <c r="X22" s="38"/>
      <c r="Y22" s="365">
        <f t="shared" si="2"/>
        <v>20</v>
      </c>
      <c r="Z22" s="437"/>
      <c r="AA22" s="435"/>
      <c r="AB22" s="436"/>
      <c r="AC22" s="27">
        <f>IF(B22="",0,IF(E22="",0,IF(SUMIF(B19:B46,B22,I19:I46)=0,0,IF(E22="Obligatoire",AD22/I22,IF(F22="",AD22/SUMIF(B19:B46,B22,I19:I46),AD22/(SUMIF(B19:B46,B22,I19:I46)/F22))))))</f>
        <v>20</v>
      </c>
      <c r="AD22" s="16">
        <f t="shared" si="3"/>
        <v>440</v>
      </c>
    </row>
    <row r="23" spans="1:30">
      <c r="A23" s="443"/>
      <c r="B23" s="53" t="s">
        <v>65</v>
      </c>
      <c r="C23" s="30" t="s">
        <v>66</v>
      </c>
      <c r="D23" s="33" t="s">
        <v>34</v>
      </c>
      <c r="E23" s="50" t="s">
        <v>35</v>
      </c>
      <c r="F23" s="31"/>
      <c r="G23" s="32" t="s">
        <v>36</v>
      </c>
      <c r="H23" s="42">
        <v>20</v>
      </c>
      <c r="I23" s="383">
        <v>22</v>
      </c>
      <c r="J23" s="46">
        <v>24</v>
      </c>
      <c r="K23" s="35"/>
      <c r="L23" s="435"/>
      <c r="M23" s="435"/>
      <c r="N23" s="435"/>
      <c r="O23" s="436"/>
      <c r="P23" s="364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20</v>
      </c>
      <c r="R23" s="34"/>
      <c r="S23" s="15">
        <f t="shared" si="1"/>
        <v>20</v>
      </c>
      <c r="T23" s="28">
        <f>IF(G23="",0,IF(ISERROR(R23+Q23*VLOOKUP(G23,Paramétrage!$D$6:$F$27,3,0))=TRUE,S23,R23+Q23*VLOOKUP(G23,Paramétrage!$D$6:$F$27,3,0)))</f>
        <v>30</v>
      </c>
      <c r="U23" s="38">
        <v>20</v>
      </c>
      <c r="V23" s="38"/>
      <c r="W23" s="38"/>
      <c r="X23" s="38"/>
      <c r="Y23" s="365">
        <f t="shared" si="2"/>
        <v>20</v>
      </c>
      <c r="Z23" s="437"/>
      <c r="AA23" s="435"/>
      <c r="AB23" s="436"/>
      <c r="AC23" s="27">
        <f>IF(B23="",0,IF(E23="",0,IF(SUMIF(B20:B47,B23,I20:I47)=0,0,IF(E23="Obligatoire",AD23/I23,IF(F23="",AD23/SUMIF(B20:B47,B23,I20:I47),AD23/(SUMIF(B20:B47,B23,I20:I47)/F23))))))</f>
        <v>20</v>
      </c>
      <c r="AD23" s="16">
        <f t="shared" si="3"/>
        <v>440</v>
      </c>
    </row>
    <row r="24" spans="1:30" ht="15.6" customHeight="1">
      <c r="A24" s="443"/>
      <c r="B24" s="53" t="s">
        <v>67</v>
      </c>
      <c r="C24" s="423" t="s">
        <v>68</v>
      </c>
      <c r="D24" s="33" t="s">
        <v>34</v>
      </c>
      <c r="E24" s="50" t="s">
        <v>35</v>
      </c>
      <c r="F24" s="31"/>
      <c r="G24" s="32" t="s">
        <v>69</v>
      </c>
      <c r="H24" s="42">
        <v>25</v>
      </c>
      <c r="I24" s="383">
        <v>22</v>
      </c>
      <c r="J24" s="46">
        <v>24</v>
      </c>
      <c r="K24" s="35"/>
      <c r="L24" s="435"/>
      <c r="M24" s="435"/>
      <c r="N24" s="435"/>
      <c r="O24" s="436"/>
      <c r="P24" s="364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25</v>
      </c>
      <c r="R24" s="34"/>
      <c r="S24" s="15">
        <f t="shared" ref="S24:S29" si="5">IF(OR(G24="",K24="Mut+ext"),0,IF(ISERROR(Q24+R24)=TRUE,Q24,Q24+R24))</f>
        <v>25</v>
      </c>
      <c r="T24" s="28">
        <f>IF(G24="",0,IF(ISERROR(R24+Q24*VLOOKUP(G24,Paramétrage!$D$6:$F$27,3,0))=TRUE,S24,R24+Q24*VLOOKUP(G24,Paramétrage!$D$6:$F$27,3,0)))</f>
        <v>25</v>
      </c>
      <c r="U24" s="38">
        <v>10</v>
      </c>
      <c r="V24" s="38"/>
      <c r="W24" s="38">
        <v>15</v>
      </c>
      <c r="X24" s="38"/>
      <c r="Y24" s="365">
        <f t="shared" si="2"/>
        <v>25</v>
      </c>
      <c r="Z24" s="437"/>
      <c r="AA24" s="435"/>
      <c r="AB24" s="436"/>
      <c r="AC24" s="27">
        <f>IF(B24="",0,IF(E24="",0,IF(SUMIF(B8:B27,B24,I8:I27)=0,0,IF(E24="Obligatoire",AD24/I24,IF(F24="",AD24/SUMIF(B8:B27,B24,I8:I27),AD24/(SUMIF(B8:B27,B24,I8:I27)/F24))))))</f>
        <v>25</v>
      </c>
      <c r="AD24" s="16">
        <f t="shared" ref="AD24:AD29" si="6">H24*I24</f>
        <v>550</v>
      </c>
    </row>
    <row r="25" spans="1:30">
      <c r="A25" s="443"/>
      <c r="B25" s="53" t="s">
        <v>70</v>
      </c>
      <c r="C25" s="423" t="s">
        <v>71</v>
      </c>
      <c r="D25" s="33" t="s">
        <v>34</v>
      </c>
      <c r="E25" s="50" t="s">
        <v>35</v>
      </c>
      <c r="F25" s="31"/>
      <c r="G25" s="32" t="s">
        <v>72</v>
      </c>
      <c r="H25" s="42">
        <v>24</v>
      </c>
      <c r="I25" s="383">
        <v>22</v>
      </c>
      <c r="J25" s="46">
        <v>24</v>
      </c>
      <c r="K25" s="35"/>
      <c r="L25" s="435"/>
      <c r="M25" s="435"/>
      <c r="N25" s="435"/>
      <c r="O25" s="436"/>
      <c r="P25" s="36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4"/>
      <c r="S25" s="15">
        <f t="shared" si="5"/>
        <v>0</v>
      </c>
      <c r="T25" s="28">
        <f>IF(G25="",0,IF(ISERROR(R25+Q25*VLOOKUP(G25,Paramétrage!$D$6:$F$27,3,0))=TRUE,S25,R25+Q25*VLOOKUP(G25,Paramétrage!$D$6:$F$27,3,0)))</f>
        <v>0</v>
      </c>
      <c r="U25" s="38"/>
      <c r="V25" s="40"/>
      <c r="W25" s="40"/>
      <c r="X25" s="40"/>
      <c r="Y25" s="365">
        <f t="shared" si="2"/>
        <v>0</v>
      </c>
      <c r="Z25" s="437" t="s">
        <v>73</v>
      </c>
      <c r="AA25" s="435"/>
      <c r="AB25" s="436"/>
      <c r="AC25" s="27">
        <f>IF(B25="",0,IF(E25="",0,IF(SUMIF(B8:B27,B25,I8:I27)=0,0,IF(E25="Obligatoire",AD25/I25,IF(F25="",AD25/SUMIF(B8:B27,B25,I8:I27),AD25/(SUMIF(B8:B27,B25,I8:I27)/F25))))))</f>
        <v>24</v>
      </c>
      <c r="AD25" s="16">
        <f t="shared" si="6"/>
        <v>528</v>
      </c>
    </row>
    <row r="26" spans="1:30">
      <c r="A26" s="443"/>
      <c r="B26" s="53" t="s">
        <v>74</v>
      </c>
      <c r="C26" s="33" t="s">
        <v>75</v>
      </c>
      <c r="D26" s="33" t="s">
        <v>34</v>
      </c>
      <c r="E26" s="50" t="s">
        <v>35</v>
      </c>
      <c r="F26" s="31"/>
      <c r="G26" s="32" t="s">
        <v>76</v>
      </c>
      <c r="H26" s="42">
        <v>30</v>
      </c>
      <c r="I26" s="383">
        <v>22</v>
      </c>
      <c r="J26" s="46">
        <v>24</v>
      </c>
      <c r="K26" s="35"/>
      <c r="L26" s="435"/>
      <c r="M26" s="435"/>
      <c r="N26" s="435"/>
      <c r="O26" s="436"/>
      <c r="P26" s="364">
        <f>IF(OR(J26="",G26=Paramétrage!$D$9,G26=Paramétrage!$D$12,G26=Paramétrage!$D$15,G26=Paramétrage!$D$18,G26=Paramétrage!$D$22,G26=Paramétrage!$D$25,AND(G26&lt;&gt;Paramétrage!$D$9,K26="Mut+ext")),0,ROUNDUP(I26/J26,0))</f>
        <v>1</v>
      </c>
      <c r="Q26" s="17">
        <f>IF(OR(G26="",K26="Mut+ext"),0,IF(VLOOKUP(G26,Paramétrage!$D$6:$F$27,3,0)=0,0,IF(J26="","saisir capacité",H26*P26*VLOOKUP(G26,Paramétrage!$D$6:$F$27,2,0))))</f>
        <v>30</v>
      </c>
      <c r="R26" s="34"/>
      <c r="S26" s="15">
        <f t="shared" si="5"/>
        <v>30</v>
      </c>
      <c r="T26" s="28">
        <f>IF(G26="",0,IF(ISERROR(R26+Q26*VLOOKUP(G26,Paramétrage!$D$6:$F$27,3,0))=TRUE,S26,R26+Q26*VLOOKUP(G26,Paramétrage!$D$6:$F$27,3,0)))</f>
        <v>30</v>
      </c>
      <c r="U26" s="38">
        <v>30</v>
      </c>
      <c r="V26" s="39"/>
      <c r="W26" s="39"/>
      <c r="X26" s="39"/>
      <c r="Y26" s="365">
        <f t="shared" si="2"/>
        <v>30</v>
      </c>
      <c r="Z26" s="437" t="s">
        <v>77</v>
      </c>
      <c r="AA26" s="435"/>
      <c r="AB26" s="436"/>
      <c r="AC26" s="27">
        <f>IF(B26="",0,IF(E26="",0,IF(SUMIF(B8:B27,B26,I8:I27)=0,0,IF(E26="Obligatoire",AD26/I26,IF(F26="",AD26/SUMIF(B8:B27,B26,I8:I27),AD26/(SUMIF(B8:B27,B26,I8:I27)/F26))))))</f>
        <v>30</v>
      </c>
      <c r="AD26" s="16">
        <f t="shared" si="6"/>
        <v>660</v>
      </c>
    </row>
    <row r="27" spans="1:30" ht="16.149999999999999" thickBot="1">
      <c r="A27" s="443"/>
      <c r="B27" s="53" t="s">
        <v>78</v>
      </c>
      <c r="C27" s="30" t="s">
        <v>79</v>
      </c>
      <c r="D27" s="33" t="s">
        <v>34</v>
      </c>
      <c r="E27" s="387" t="s">
        <v>35</v>
      </c>
      <c r="F27" s="31"/>
      <c r="G27" s="32" t="s">
        <v>76</v>
      </c>
      <c r="H27" s="388">
        <v>18</v>
      </c>
      <c r="I27" s="383">
        <v>22</v>
      </c>
      <c r="J27" s="46">
        <v>24</v>
      </c>
      <c r="K27" s="35"/>
      <c r="L27" s="435"/>
      <c r="M27" s="435"/>
      <c r="N27" s="435"/>
      <c r="O27" s="436"/>
      <c r="P27" s="364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18</v>
      </c>
      <c r="R27" s="383"/>
      <c r="S27" s="384">
        <f t="shared" si="5"/>
        <v>18</v>
      </c>
      <c r="T27" s="385">
        <f>IF(G27="",0,IF(ISERROR(R27+Q27*VLOOKUP(G27,Paramétrage!$D$6:$F$27,3,0))=TRUE,S27,R27+Q27*VLOOKUP(G27,Paramétrage!$D$6:$F$27,3,0)))</f>
        <v>18</v>
      </c>
      <c r="U27" s="39">
        <v>18</v>
      </c>
      <c r="V27" s="39"/>
      <c r="W27" s="39"/>
      <c r="X27" s="39"/>
      <c r="Y27" s="386">
        <f t="shared" si="2"/>
        <v>18</v>
      </c>
      <c r="Z27" s="437"/>
      <c r="AA27" s="435"/>
      <c r="AB27" s="436"/>
      <c r="AC27" s="27">
        <f>IF(B27="",0,IF(E27="",0,IF(SUMIF(B8:B27,B27,I8:I27)=0,0,IF(E27="Obligatoire",AD27/I27,IF(F27="",AD27/SUMIF(B8:B27,B27,I8:I27),AD27/(SUMIF(B8:B27,B27,I8:I27)/F27))))))</f>
        <v>18</v>
      </c>
      <c r="AD27" s="16">
        <f t="shared" si="6"/>
        <v>396</v>
      </c>
    </row>
    <row r="28" spans="1:30" ht="15.6" customHeight="1">
      <c r="A28" s="443"/>
      <c r="B28" s="376" t="s">
        <v>80</v>
      </c>
      <c r="C28" s="30" t="s">
        <v>81</v>
      </c>
      <c r="D28" s="404" t="s">
        <v>34</v>
      </c>
      <c r="E28" s="377" t="s">
        <v>35</v>
      </c>
      <c r="F28" s="378"/>
      <c r="G28" s="379" t="s">
        <v>72</v>
      </c>
      <c r="H28" s="380">
        <v>30</v>
      </c>
      <c r="I28" s="38">
        <v>22</v>
      </c>
      <c r="J28" s="381">
        <v>24</v>
      </c>
      <c r="K28" s="382"/>
      <c r="L28" s="433"/>
      <c r="M28" s="433"/>
      <c r="N28" s="433"/>
      <c r="O28" s="434"/>
      <c r="P28" s="37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5"/>
      <c r="S28" s="15">
        <f t="shared" si="5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5">
        <f>SUM(U28:X28)</f>
        <v>0</v>
      </c>
      <c r="Z28" s="447" t="s">
        <v>82</v>
      </c>
      <c r="AA28" s="433"/>
      <c r="AB28" s="434"/>
      <c r="AC28" s="59">
        <f>IF(B28="",0,IF(E28="",0,IF(SUMIF(B28:B47,B28,I28:I47)=0,0,IF(E28="Obligatoire",AD28/I28,IF(F28="",AD28/SUMIF(B28:B47,B28,I28:I47),AD28/(SUMIF(B28:B47,B28,I28:I47)/F28))))))</f>
        <v>30</v>
      </c>
      <c r="AD28" s="60">
        <f t="shared" si="6"/>
        <v>660</v>
      </c>
    </row>
    <row r="29" spans="1:30">
      <c r="A29" s="443"/>
      <c r="B29" s="53"/>
      <c r="C29" s="30"/>
      <c r="D29" s="33"/>
      <c r="E29" s="50"/>
      <c r="F29" s="31"/>
      <c r="G29" s="32"/>
      <c r="H29" s="42"/>
      <c r="I29" s="38"/>
      <c r="J29" s="46"/>
      <c r="K29" s="35"/>
      <c r="L29" s="435"/>
      <c r="M29" s="435"/>
      <c r="N29" s="435"/>
      <c r="O29" s="436"/>
      <c r="P29" s="364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5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65">
        <f t="shared" ref="Y29:Y47" si="7">SUM(U29:X29)</f>
        <v>0</v>
      </c>
      <c r="Z29" s="437"/>
      <c r="AA29" s="435"/>
      <c r="AB29" s="436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6"/>
        <v>0</v>
      </c>
    </row>
    <row r="30" spans="1:30">
      <c r="A30" s="443"/>
      <c r="B30" s="53"/>
      <c r="C30" s="30"/>
      <c r="D30" s="33"/>
      <c r="E30" s="50"/>
      <c r="F30" s="31"/>
      <c r="G30" s="32"/>
      <c r="H30" s="42"/>
      <c r="I30" s="38"/>
      <c r="J30" s="46"/>
      <c r="K30" s="35"/>
      <c r="L30" s="435"/>
      <c r="M30" s="435"/>
      <c r="N30" s="435"/>
      <c r="O30" s="436"/>
      <c r="P30" s="36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65">
        <f t="shared" si="7"/>
        <v>0</v>
      </c>
      <c r="Z30" s="437"/>
      <c r="AA30" s="435"/>
      <c r="AB30" s="436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8">H30*I30</f>
        <v>0</v>
      </c>
    </row>
    <row r="31" spans="1:30">
      <c r="A31" s="443"/>
      <c r="B31" s="53"/>
      <c r="C31" s="30"/>
      <c r="D31" s="33"/>
      <c r="E31" s="50"/>
      <c r="F31" s="31"/>
      <c r="G31" s="32"/>
      <c r="H31" s="42"/>
      <c r="I31" s="38"/>
      <c r="J31" s="46"/>
      <c r="K31" s="35"/>
      <c r="L31" s="435"/>
      <c r="M31" s="435"/>
      <c r="N31" s="435"/>
      <c r="O31" s="436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65">
        <f t="shared" si="7"/>
        <v>0</v>
      </c>
      <c r="Z31" s="437"/>
      <c r="AA31" s="435"/>
      <c r="AB31" s="436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9">H31*I31</f>
        <v>0</v>
      </c>
    </row>
    <row r="32" spans="1:30">
      <c r="A32" s="443"/>
      <c r="B32" s="53"/>
      <c r="C32" s="30"/>
      <c r="D32" s="33"/>
      <c r="E32" s="50"/>
      <c r="F32" s="31"/>
      <c r="G32" s="32"/>
      <c r="H32" s="42"/>
      <c r="I32" s="38"/>
      <c r="J32" s="46"/>
      <c r="K32" s="35"/>
      <c r="L32" s="435"/>
      <c r="M32" s="435"/>
      <c r="N32" s="435"/>
      <c r="O32" s="436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7"/>
        <v>0</v>
      </c>
      <c r="Z32" s="437"/>
      <c r="AA32" s="435"/>
      <c r="AB32" s="436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9"/>
        <v>0</v>
      </c>
    </row>
    <row r="33" spans="1:30">
      <c r="A33" s="443"/>
      <c r="B33" s="53"/>
      <c r="C33" s="30"/>
      <c r="D33" s="30"/>
      <c r="E33" s="50"/>
      <c r="F33" s="31"/>
      <c r="G33" s="32"/>
      <c r="H33" s="42"/>
      <c r="I33" s="38"/>
      <c r="J33" s="46"/>
      <c r="K33" s="35"/>
      <c r="L33" s="435"/>
      <c r="M33" s="435"/>
      <c r="N33" s="435"/>
      <c r="O33" s="436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7"/>
        <v>0</v>
      </c>
      <c r="Z33" s="437"/>
      <c r="AA33" s="435"/>
      <c r="AB33" s="436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10">H33*I33</f>
        <v>0</v>
      </c>
    </row>
    <row r="34" spans="1:30">
      <c r="A34" s="443"/>
      <c r="B34" s="53"/>
      <c r="C34" s="30"/>
      <c r="D34" s="50"/>
      <c r="E34" s="33"/>
      <c r="F34" s="31"/>
      <c r="G34" s="32"/>
      <c r="H34" s="42"/>
      <c r="I34" s="38"/>
      <c r="J34" s="46"/>
      <c r="K34" s="35"/>
      <c r="L34" s="435"/>
      <c r="M34" s="435"/>
      <c r="N34" s="435"/>
      <c r="O34" s="436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7"/>
        <v>0</v>
      </c>
      <c r="Z34" s="437"/>
      <c r="AA34" s="435"/>
      <c r="AB34" s="436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10"/>
        <v>0</v>
      </c>
    </row>
    <row r="35" spans="1:30">
      <c r="A35" s="443"/>
      <c r="B35" s="53"/>
      <c r="C35" s="30"/>
      <c r="D35" s="50"/>
      <c r="E35" s="33"/>
      <c r="F35" s="31"/>
      <c r="G35" s="32"/>
      <c r="H35" s="42"/>
      <c r="I35" s="38"/>
      <c r="J35" s="46"/>
      <c r="K35" s="35"/>
      <c r="L35" s="435"/>
      <c r="M35" s="435"/>
      <c r="N35" s="435"/>
      <c r="O35" s="436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7"/>
        <v>0</v>
      </c>
      <c r="Z35" s="437"/>
      <c r="AA35" s="435"/>
      <c r="AB35" s="436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9"/>
        <v>0</v>
      </c>
    </row>
    <row r="36" spans="1:30">
      <c r="A36" s="443"/>
      <c r="B36" s="53"/>
      <c r="C36" s="30"/>
      <c r="D36" s="50"/>
      <c r="E36" s="33"/>
      <c r="F36" s="31"/>
      <c r="G36" s="32"/>
      <c r="H36" s="42"/>
      <c r="I36" s="38"/>
      <c r="J36" s="46"/>
      <c r="K36" s="35"/>
      <c r="L36" s="435"/>
      <c r="M36" s="435"/>
      <c r="N36" s="435"/>
      <c r="O36" s="436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7"/>
        <v>0</v>
      </c>
      <c r="Z36" s="437"/>
      <c r="AA36" s="435"/>
      <c r="AB36" s="436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9"/>
        <v>0</v>
      </c>
    </row>
    <row r="37" spans="1:30">
      <c r="A37" s="443"/>
      <c r="B37" s="53"/>
      <c r="C37" s="30"/>
      <c r="D37" s="50"/>
      <c r="E37" s="33"/>
      <c r="F37" s="31"/>
      <c r="G37" s="32"/>
      <c r="H37" s="42"/>
      <c r="I37" s="38"/>
      <c r="J37" s="46"/>
      <c r="K37" s="35"/>
      <c r="L37" s="435"/>
      <c r="M37" s="435"/>
      <c r="N37" s="435"/>
      <c r="O37" s="436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7"/>
        <v>0</v>
      </c>
      <c r="Z37" s="437"/>
      <c r="AA37" s="435"/>
      <c r="AB37" s="436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9"/>
        <v>0</v>
      </c>
    </row>
    <row r="38" spans="1:30">
      <c r="A38" s="443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35"/>
      <c r="M38" s="435"/>
      <c r="N38" s="435"/>
      <c r="O38" s="436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7"/>
        <v>0</v>
      </c>
      <c r="Z38" s="437"/>
      <c r="AA38" s="435"/>
      <c r="AB38" s="436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8"/>
        <v>0</v>
      </c>
    </row>
    <row r="39" spans="1:30">
      <c r="A39" s="443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35"/>
      <c r="M39" s="435"/>
      <c r="N39" s="435"/>
      <c r="O39" s="436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7"/>
        <v>0</v>
      </c>
      <c r="Z39" s="437"/>
      <c r="AA39" s="435"/>
      <c r="AB39" s="436"/>
      <c r="AC39" s="27">
        <f t="shared" ref="AC39" si="11">IF(B39="",0,IF(E39="",0,IF(SUMIF(B38:B50,B39,I38:I50)=0,0,IF(E39="Obligatoire",AD39/I39,IF(F39="",AD39/SUMIF(B38:B50,B39,I38:I50),AD39/(SUMIF(B38:B50,B39,I38:I50)/F39))))))</f>
        <v>0</v>
      </c>
      <c r="AD39" s="16">
        <f t="shared" si="8"/>
        <v>0</v>
      </c>
    </row>
    <row r="40" spans="1:30">
      <c r="A40" s="443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35"/>
      <c r="M40" s="435"/>
      <c r="N40" s="435"/>
      <c r="O40" s="436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7"/>
        <v>0</v>
      </c>
      <c r="Z40" s="437"/>
      <c r="AA40" s="435"/>
      <c r="AB40" s="436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8"/>
        <v>0</v>
      </c>
    </row>
    <row r="41" spans="1:30">
      <c r="A41" s="443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35"/>
      <c r="M41" s="435"/>
      <c r="N41" s="435"/>
      <c r="O41" s="436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7"/>
        <v>0</v>
      </c>
      <c r="Z41" s="437"/>
      <c r="AA41" s="435"/>
      <c r="AB41" s="436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8"/>
        <v>0</v>
      </c>
    </row>
    <row r="42" spans="1:30">
      <c r="A42" s="443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35"/>
      <c r="M42" s="435"/>
      <c r="N42" s="435"/>
      <c r="O42" s="436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7"/>
        <v>0</v>
      </c>
      <c r="Z42" s="437"/>
      <c r="AA42" s="435"/>
      <c r="AB42" s="436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2">H42*I42</f>
        <v>0</v>
      </c>
    </row>
    <row r="43" spans="1:30">
      <c r="A43" s="443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35"/>
      <c r="M43" s="435"/>
      <c r="N43" s="435"/>
      <c r="O43" s="436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7"/>
        <v>0</v>
      </c>
      <c r="Z43" s="437"/>
      <c r="AA43" s="435"/>
      <c r="AB43" s="436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2"/>
        <v>0</v>
      </c>
    </row>
    <row r="44" spans="1:30">
      <c r="A44" s="443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35"/>
      <c r="M44" s="435"/>
      <c r="N44" s="435"/>
      <c r="O44" s="436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7"/>
        <v>0</v>
      </c>
      <c r="Z44" s="437"/>
      <c r="AA44" s="435"/>
      <c r="AB44" s="436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2"/>
        <v>0</v>
      </c>
    </row>
    <row r="45" spans="1:30">
      <c r="A45" s="443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35"/>
      <c r="M45" s="435"/>
      <c r="N45" s="435"/>
      <c r="O45" s="436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7"/>
        <v>0</v>
      </c>
      <c r="Z45" s="437"/>
      <c r="AA45" s="435"/>
      <c r="AB45" s="436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2"/>
        <v>0</v>
      </c>
    </row>
    <row r="46" spans="1:30">
      <c r="A46" s="443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35"/>
      <c r="M46" s="435"/>
      <c r="N46" s="435"/>
      <c r="O46" s="436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7"/>
        <v>0</v>
      </c>
      <c r="Z46" s="437"/>
      <c r="AA46" s="435"/>
      <c r="AB46" s="436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2"/>
        <v>0</v>
      </c>
    </row>
    <row r="47" spans="1:30">
      <c r="A47" s="443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35"/>
      <c r="M47" s="435"/>
      <c r="N47" s="435"/>
      <c r="O47" s="436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7"/>
        <v>0</v>
      </c>
      <c r="Z47" s="437"/>
      <c r="AA47" s="435"/>
      <c r="AB47" s="436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2"/>
        <v>0</v>
      </c>
    </row>
    <row r="48" spans="1:30" ht="16.149999999999999" thickBot="1">
      <c r="A48" s="444"/>
      <c r="B48" s="55"/>
      <c r="C48" s="65"/>
      <c r="D48" s="19"/>
      <c r="E48" s="405"/>
      <c r="F48" s="20"/>
      <c r="G48" s="18"/>
      <c r="H48" s="48">
        <f>AC48</f>
        <v>364</v>
      </c>
      <c r="I48" s="43"/>
      <c r="J48" s="47"/>
      <c r="K48" s="52"/>
      <c r="L48" s="61"/>
      <c r="M48" s="61"/>
      <c r="N48" s="61"/>
      <c r="O48" s="62"/>
      <c r="P48" s="391"/>
      <c r="Q48" s="392">
        <f>SUM(Q8:Q47)</f>
        <v>310</v>
      </c>
      <c r="R48" s="360">
        <f>SUM(R8:R47)</f>
        <v>0</v>
      </c>
      <c r="S48" s="393">
        <f>SUM(S8:S47)</f>
        <v>310</v>
      </c>
      <c r="T48" s="66">
        <f>SUM(T8:T47)</f>
        <v>428.5</v>
      </c>
      <c r="U48" s="393">
        <f t="shared" ref="U48:Y48" si="13">SUM(U8:U47)</f>
        <v>173</v>
      </c>
      <c r="V48" s="393">
        <f t="shared" si="13"/>
        <v>0</v>
      </c>
      <c r="W48" s="393">
        <f t="shared" si="13"/>
        <v>137</v>
      </c>
      <c r="X48" s="393">
        <f t="shared" si="13"/>
        <v>0</v>
      </c>
      <c r="Y48" s="393">
        <f t="shared" si="13"/>
        <v>310</v>
      </c>
      <c r="Z48" s="371"/>
      <c r="AA48" s="63"/>
      <c r="AB48" s="372"/>
      <c r="AC48" s="64">
        <f>SUM(AC8:AC47)</f>
        <v>364</v>
      </c>
      <c r="AD48" s="26">
        <f>SUM(AD8:AD47)</f>
        <v>8008</v>
      </c>
    </row>
    <row r="49" spans="1:30" ht="14.45" customHeight="1">
      <c r="A49" s="442" t="s">
        <v>83</v>
      </c>
      <c r="B49" s="53" t="s">
        <v>84</v>
      </c>
      <c r="C49" s="423" t="s">
        <v>85</v>
      </c>
      <c r="D49" s="50" t="s">
        <v>34</v>
      </c>
      <c r="E49" s="33" t="s">
        <v>35</v>
      </c>
      <c r="F49" s="31"/>
      <c r="G49" s="32" t="s">
        <v>86</v>
      </c>
      <c r="H49" s="42">
        <v>4</v>
      </c>
      <c r="I49" s="383">
        <v>22</v>
      </c>
      <c r="J49" s="56">
        <v>100</v>
      </c>
      <c r="K49" s="51" t="s">
        <v>87</v>
      </c>
      <c r="L49" s="438" t="s">
        <v>88</v>
      </c>
      <c r="M49" s="438"/>
      <c r="N49" s="438"/>
      <c r="O49" s="439"/>
      <c r="P49" s="364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7"/>
      <c r="S49" s="15">
        <f t="shared" si="1"/>
        <v>0</v>
      </c>
      <c r="T49" s="58">
        <f>IF(G49="",0,IF(ISERROR(R49+Q49*VLOOKUP(G49,Paramétrage!$D$6:$F$27,3,0))=TRUE,S49,R49+Q49*VLOOKUP(G49,Paramétrage!$D$6:$F$27,3,0)))</f>
        <v>0</v>
      </c>
      <c r="U49" s="37"/>
      <c r="V49" s="37"/>
      <c r="W49" s="37"/>
      <c r="X49" s="37"/>
      <c r="Y49" s="365">
        <f>SUM(U49:X49)</f>
        <v>0</v>
      </c>
      <c r="Z49" s="462"/>
      <c r="AA49" s="438"/>
      <c r="AB49" s="439"/>
      <c r="AC49" s="59">
        <f>IF(B49="",0,IF(E49="",0,IF(SUMIF(B49:B68,B49,I49:I68)=0,0,IF(E49="Obligatoire",AD49/I49,IF(F49="",AD49/SUMIF(B49:B68,B49,I49:I68),AD49/(SUMIF(B49:B68,B49,I49:I68)/F49))))))</f>
        <v>4</v>
      </c>
      <c r="AD49" s="60">
        <f>H49*I49</f>
        <v>88</v>
      </c>
    </row>
    <row r="50" spans="1:30">
      <c r="A50" s="443"/>
      <c r="B50" s="53" t="s">
        <v>89</v>
      </c>
      <c r="C50" s="33" t="s">
        <v>90</v>
      </c>
      <c r="D50" s="50" t="s">
        <v>34</v>
      </c>
      <c r="E50" s="33" t="s">
        <v>35</v>
      </c>
      <c r="F50" s="31"/>
      <c r="G50" s="32" t="s">
        <v>86</v>
      </c>
      <c r="H50" s="42">
        <v>6</v>
      </c>
      <c r="I50" s="383">
        <v>22</v>
      </c>
      <c r="J50" s="46">
        <v>24</v>
      </c>
      <c r="K50" s="35"/>
      <c r="L50" s="435"/>
      <c r="M50" s="435"/>
      <c r="N50" s="435"/>
      <c r="O50" s="436"/>
      <c r="P50" s="36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6</v>
      </c>
      <c r="R50" s="34"/>
      <c r="S50" s="15">
        <f t="shared" si="1"/>
        <v>6</v>
      </c>
      <c r="T50" s="28">
        <f>IF(G50="",0,IF(ISERROR(R50+Q50*VLOOKUP(G50,Paramétrage!$D$6:$F$27,3,0))=TRUE,S50,R50+Q50*VLOOKUP(G50,Paramétrage!$D$6:$F$27,3,0)))</f>
        <v>6</v>
      </c>
      <c r="U50" s="38">
        <v>6</v>
      </c>
      <c r="V50" s="38"/>
      <c r="W50" s="38"/>
      <c r="X50" s="38"/>
      <c r="Y50" s="365">
        <f t="shared" ref="Y50:Y68" si="14">SUM(U50:X50)</f>
        <v>6</v>
      </c>
      <c r="Z50" s="437"/>
      <c r="AA50" s="435"/>
      <c r="AB50" s="436"/>
      <c r="AC50" s="27">
        <f>IF(B50="",0,IF(E50="",0,IF(SUMIF(B49:B68,B50,I49:I68)=0,0,IF(E50="Obligatoire",AD50/I50,IF(F50="",AD50/SUMIF(B49:B68,B50,I49:I68),AD50/(SUMIF(B49:B68,B50,I49:I68)/F50))))))</f>
        <v>6</v>
      </c>
      <c r="AD50" s="16">
        <f>H50*I50</f>
        <v>132</v>
      </c>
    </row>
    <row r="51" spans="1:30" ht="4.9000000000000004" customHeight="1">
      <c r="A51" s="443"/>
      <c r="B51" s="53"/>
      <c r="C51" s="423"/>
      <c r="D51" s="50"/>
      <c r="E51" s="33"/>
      <c r="F51" s="31"/>
      <c r="G51" s="32"/>
      <c r="H51" s="42"/>
      <c r="I51" s="383"/>
      <c r="J51" s="46"/>
      <c r="K51" s="35"/>
      <c r="L51" s="435"/>
      <c r="M51" s="435"/>
      <c r="N51" s="435"/>
      <c r="O51" s="436"/>
      <c r="P51" s="364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4"/>
      <c r="S51" s="15">
        <f t="shared" si="1"/>
        <v>0</v>
      </c>
      <c r="T51" s="28">
        <f>IF(G51="",0,IF(ISERROR(R51+Q51*VLOOKUP(G51,Paramétrage!$D$6:$F$27,3,0))=TRUE,S51,R51+Q51*VLOOKUP(G51,Paramétrage!$D$6:$F$27,3,0)))</f>
        <v>0</v>
      </c>
      <c r="U51" s="38"/>
      <c r="V51" s="38"/>
      <c r="W51" s="38"/>
      <c r="X51" s="38"/>
      <c r="Y51" s="365">
        <f t="shared" si="14"/>
        <v>0</v>
      </c>
      <c r="Z51" s="437"/>
      <c r="AA51" s="435"/>
      <c r="AB51" s="436"/>
      <c r="AC51" s="27">
        <f>IF(B51="",0,IF(E51="",0,IF(SUMIF(B50:B68,B51,I50:I68)=0,0,IF(E51="Obligatoire",AD51/I51,IF(F51="",AD51/SUMIF(B50:B68,B51,I50:I68),AD51/(SUMIF(B50:B68,B51,I50:I68)/F51))))))</f>
        <v>0</v>
      </c>
      <c r="AD51" s="16">
        <f t="shared" ref="AD51:AD62" si="15">H51*I51</f>
        <v>0</v>
      </c>
    </row>
    <row r="52" spans="1:30">
      <c r="A52" s="443"/>
      <c r="B52" s="53" t="s">
        <v>91</v>
      </c>
      <c r="C52" s="30" t="s">
        <v>92</v>
      </c>
      <c r="D52" s="50" t="s">
        <v>34</v>
      </c>
      <c r="E52" s="33" t="s">
        <v>35</v>
      </c>
      <c r="F52" s="31"/>
      <c r="G52" s="32" t="s">
        <v>93</v>
      </c>
      <c r="H52" s="42">
        <v>14</v>
      </c>
      <c r="I52" s="383">
        <v>22</v>
      </c>
      <c r="J52" s="46">
        <v>24</v>
      </c>
      <c r="K52" s="35"/>
      <c r="L52" s="435"/>
      <c r="M52" s="435"/>
      <c r="N52" s="435"/>
      <c r="O52" s="436"/>
      <c r="P52" s="364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4">
        <v>4</v>
      </c>
      <c r="S52" s="15">
        <f t="shared" si="1"/>
        <v>4</v>
      </c>
      <c r="T52" s="28">
        <f>IF(G52="",0,IF(ISERROR(R52+Q52*VLOOKUP(G52,Paramétrage!$D$6:$F$27,3,0))=TRUE,S52,R52+Q52*VLOOKUP(G52,Paramétrage!$D$6:$F$27,3,0)))</f>
        <v>4</v>
      </c>
      <c r="U52" s="38">
        <v>4</v>
      </c>
      <c r="V52" s="38"/>
      <c r="W52" s="38"/>
      <c r="X52" s="38"/>
      <c r="Y52" s="365">
        <f t="shared" si="14"/>
        <v>4</v>
      </c>
      <c r="Z52" s="437"/>
      <c r="AA52" s="435"/>
      <c r="AB52" s="436"/>
      <c r="AC52" s="27">
        <f>IF(B52="",0,IF(E52="",0,IF(SUMIF(B51:B69,B52,I51:I69)=0,0,IF(E52="Obligatoire",AD52/I52,IF(F52="",AD52/SUMIF(B51:B69,B52,I51:I69),AD52/(SUMIF(B51:B69,B52,I51:I69)/F52))))))</f>
        <v>14</v>
      </c>
      <c r="AD52" s="16">
        <f t="shared" si="15"/>
        <v>308</v>
      </c>
    </row>
    <row r="53" spans="1:30" ht="3.6" customHeight="1">
      <c r="A53" s="443"/>
      <c r="B53" s="53"/>
      <c r="C53" s="30"/>
      <c r="D53" s="50"/>
      <c r="E53" s="33"/>
      <c r="F53" s="31"/>
      <c r="G53" s="32"/>
      <c r="H53" s="42"/>
      <c r="I53" s="383">
        <v>0</v>
      </c>
      <c r="J53" s="46"/>
      <c r="K53" s="35"/>
      <c r="L53" s="435"/>
      <c r="M53" s="435"/>
      <c r="N53" s="435"/>
      <c r="O53" s="436"/>
      <c r="P53" s="364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4"/>
      <c r="S53" s="15">
        <f t="shared" si="1"/>
        <v>0</v>
      </c>
      <c r="T53" s="28">
        <f>IF(G53="",0,IF(ISERROR(R53+Q53*VLOOKUP(G53,Paramétrage!$D$6:$F$27,3,0))=TRUE,S53,R53+Q53*VLOOKUP(G53,Paramétrage!$D$6:$F$27,3,0)))</f>
        <v>0</v>
      </c>
      <c r="U53" s="38"/>
      <c r="V53" s="38"/>
      <c r="W53" s="38"/>
      <c r="X53" s="38"/>
      <c r="Y53" s="365">
        <f t="shared" si="14"/>
        <v>0</v>
      </c>
      <c r="Z53" s="437"/>
      <c r="AA53" s="435"/>
      <c r="AB53" s="436"/>
      <c r="AC53" s="27">
        <f>IF(B53="",0,IF(E53="",0,IF(SUMIF(B52:B70,B53,I52:I70)=0,0,IF(E53="Obligatoire",AD53/I53,IF(F53="",AD53/SUMIF(B52:B70,B53,I52:I70),AD53/(SUMIF(B52:B70,B53,I52:I70)/F53))))))</f>
        <v>0</v>
      </c>
      <c r="AD53" s="16">
        <f t="shared" si="15"/>
        <v>0</v>
      </c>
    </row>
    <row r="54" spans="1:30">
      <c r="A54" s="443"/>
      <c r="B54" s="53" t="s">
        <v>94</v>
      </c>
      <c r="C54" s="30" t="s">
        <v>95</v>
      </c>
      <c r="D54" s="50" t="s">
        <v>34</v>
      </c>
      <c r="E54" s="33" t="s">
        <v>35</v>
      </c>
      <c r="F54" s="31"/>
      <c r="G54" s="32" t="s">
        <v>96</v>
      </c>
      <c r="H54" s="42">
        <v>0</v>
      </c>
      <c r="I54" s="383">
        <v>22</v>
      </c>
      <c r="J54" s="46">
        <v>24</v>
      </c>
      <c r="K54" s="35"/>
      <c r="L54" s="435"/>
      <c r="M54" s="435"/>
      <c r="N54" s="435"/>
      <c r="O54" s="436"/>
      <c r="P54" s="364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>
        <f>8*I54</f>
        <v>176</v>
      </c>
      <c r="S54" s="15">
        <f t="shared" si="1"/>
        <v>176</v>
      </c>
      <c r="T54" s="28">
        <f>IF(G54="",0,IF(ISERROR(R54+Q54*VLOOKUP(G54,Paramétrage!$D$6:$F$27,3,0))=TRUE,S54,R54+Q54*VLOOKUP(G54,Paramétrage!$D$6:$F$27,3,0)))</f>
        <v>176</v>
      </c>
      <c r="U54" s="38">
        <f>2/3*R54</f>
        <v>117.33333333333333</v>
      </c>
      <c r="V54" s="38"/>
      <c r="W54" s="38">
        <f>R54-U54</f>
        <v>58.666666666666671</v>
      </c>
      <c r="X54" s="38"/>
      <c r="Y54" s="365">
        <f t="shared" si="14"/>
        <v>176</v>
      </c>
      <c r="Z54" s="437" t="s">
        <v>97</v>
      </c>
      <c r="AA54" s="435"/>
      <c r="AB54" s="436"/>
      <c r="AC54" s="27">
        <f>IF(B54="",0,IF(E54="",0,IF(SUMIF(B53:B71,B54,I53:I71)=0,0,IF(E54="Obligatoire",AD54/I54,IF(F54="",AD54/SUMIF(B53:B71,B54,I53:I71),AD54/(SUMIF(B53:B71,B54,I53:I71)/F54))))))</f>
        <v>0</v>
      </c>
      <c r="AD54" s="16">
        <f t="shared" si="15"/>
        <v>0</v>
      </c>
    </row>
    <row r="55" spans="1:30" ht="15" customHeight="1">
      <c r="A55" s="443"/>
      <c r="B55" s="53" t="s">
        <v>98</v>
      </c>
      <c r="C55" s="30" t="s">
        <v>99</v>
      </c>
      <c r="D55" s="50" t="s">
        <v>34</v>
      </c>
      <c r="E55" s="33" t="s">
        <v>35</v>
      </c>
      <c r="F55" s="31"/>
      <c r="G55" s="32" t="s">
        <v>96</v>
      </c>
      <c r="H55" s="427">
        <v>14</v>
      </c>
      <c r="I55" s="383">
        <v>22</v>
      </c>
      <c r="J55" s="46">
        <v>24</v>
      </c>
      <c r="K55" s="35"/>
      <c r="L55" s="435"/>
      <c r="M55" s="435"/>
      <c r="N55" s="435"/>
      <c r="O55" s="436"/>
      <c r="P55" s="364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>
        <f>H55</f>
        <v>14</v>
      </c>
      <c r="S55" s="15">
        <f t="shared" si="1"/>
        <v>14</v>
      </c>
      <c r="T55" s="28">
        <f>IF(G55="",0,IF(ISERROR(R55+Q55*VLOOKUP(G55,Paramétrage!$D$6:$F$27,3,0))=TRUE,S55,R55+Q55*VLOOKUP(G55,Paramétrage!$D$6:$F$27,3,0)))</f>
        <v>14</v>
      </c>
      <c r="U55" s="38">
        <v>14</v>
      </c>
      <c r="V55" s="38"/>
      <c r="W55" s="38"/>
      <c r="X55" s="38"/>
      <c r="Y55" s="365">
        <f t="shared" si="14"/>
        <v>14</v>
      </c>
      <c r="Z55" s="437"/>
      <c r="AA55" s="435"/>
      <c r="AB55" s="436"/>
      <c r="AC55" s="27">
        <f t="shared" ref="AC55:AC60" si="16">IF(B55="",0,IF(E55="",0,IF(SUMIF(B54:B84,B55,I54:I84)=0,0,IF(E55="Obligatoire",AD55/I55,IF(F55="",AD55/SUMIF(B54:B84,B55,I54:I84),AD55/(SUMIF(B54:B84,B55,I54:I84)/F55))))))</f>
        <v>14</v>
      </c>
      <c r="AD55" s="16">
        <f t="shared" si="15"/>
        <v>308</v>
      </c>
    </row>
    <row r="56" spans="1:30">
      <c r="A56" s="443"/>
      <c r="B56" s="53"/>
      <c r="C56" s="30"/>
      <c r="D56" s="50"/>
      <c r="E56" s="33"/>
      <c r="F56" s="31"/>
      <c r="G56" s="32"/>
      <c r="H56" s="429"/>
      <c r="I56" s="383"/>
      <c r="J56" s="46"/>
      <c r="K56" s="35"/>
      <c r="L56" s="435"/>
      <c r="M56" s="435"/>
      <c r="N56" s="435"/>
      <c r="O56" s="436"/>
      <c r="P56" s="364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28"/>
      <c r="V56" s="415"/>
      <c r="W56" s="428"/>
      <c r="X56" s="38"/>
      <c r="Y56" s="365">
        <f t="shared" si="14"/>
        <v>0</v>
      </c>
      <c r="Z56" s="437"/>
      <c r="AA56" s="435"/>
      <c r="AB56" s="436"/>
      <c r="AC56" s="27">
        <f t="shared" si="16"/>
        <v>0</v>
      </c>
      <c r="AD56" s="16">
        <f t="shared" si="15"/>
        <v>0</v>
      </c>
    </row>
    <row r="57" spans="1:30">
      <c r="A57" s="443"/>
      <c r="B57" s="53"/>
      <c r="C57" s="30"/>
      <c r="D57" s="50"/>
      <c r="E57" s="33"/>
      <c r="F57" s="31"/>
      <c r="G57" s="32"/>
      <c r="H57" s="42"/>
      <c r="I57" s="38"/>
      <c r="J57" s="46"/>
      <c r="K57" s="35"/>
      <c r="L57" s="435"/>
      <c r="M57" s="435"/>
      <c r="N57" s="435"/>
      <c r="O57" s="436"/>
      <c r="P57" s="364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8"/>
      <c r="V57" s="38"/>
      <c r="W57" s="38"/>
      <c r="X57" s="38"/>
      <c r="Y57" s="365">
        <f t="shared" si="14"/>
        <v>0</v>
      </c>
      <c r="Z57" s="437"/>
      <c r="AA57" s="435"/>
      <c r="AB57" s="436"/>
      <c r="AC57" s="27">
        <f t="shared" si="16"/>
        <v>0</v>
      </c>
      <c r="AD57" s="16">
        <f t="shared" si="15"/>
        <v>0</v>
      </c>
    </row>
    <row r="58" spans="1:30">
      <c r="A58" s="443"/>
      <c r="B58" s="53"/>
      <c r="C58" s="30"/>
      <c r="D58" s="50"/>
      <c r="E58" s="30"/>
      <c r="F58" s="31"/>
      <c r="G58" s="32"/>
      <c r="H58" s="42"/>
      <c r="I58" s="38"/>
      <c r="J58" s="46"/>
      <c r="K58" s="35"/>
      <c r="L58" s="435"/>
      <c r="M58" s="435"/>
      <c r="N58" s="435"/>
      <c r="O58" s="436"/>
      <c r="P58" s="364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8"/>
      <c r="V58" s="38"/>
      <c r="W58" s="38"/>
      <c r="X58" s="38"/>
      <c r="Y58" s="365">
        <f t="shared" si="14"/>
        <v>0</v>
      </c>
      <c r="Z58" s="437"/>
      <c r="AA58" s="435"/>
      <c r="AB58" s="436"/>
      <c r="AC58" s="27">
        <f t="shared" si="16"/>
        <v>0</v>
      </c>
      <c r="AD58" s="16">
        <f t="shared" si="15"/>
        <v>0</v>
      </c>
    </row>
    <row r="59" spans="1:30">
      <c r="A59" s="443"/>
      <c r="B59" s="53"/>
      <c r="C59" s="30"/>
      <c r="D59" s="50"/>
      <c r="E59" s="33"/>
      <c r="F59" s="31"/>
      <c r="G59" s="32"/>
      <c r="H59" s="42"/>
      <c r="I59" s="383"/>
      <c r="J59" s="46"/>
      <c r="K59" s="35"/>
      <c r="L59" s="435"/>
      <c r="M59" s="435"/>
      <c r="N59" s="435"/>
      <c r="O59" s="436"/>
      <c r="P59" s="364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/>
      <c r="V59" s="38"/>
      <c r="W59" s="38"/>
      <c r="X59" s="38"/>
      <c r="Y59" s="365">
        <f t="shared" si="14"/>
        <v>0</v>
      </c>
      <c r="Z59" s="437"/>
      <c r="AA59" s="435"/>
      <c r="AB59" s="436"/>
      <c r="AC59" s="27">
        <f t="shared" si="16"/>
        <v>0</v>
      </c>
      <c r="AD59" s="16">
        <f t="shared" si="15"/>
        <v>0</v>
      </c>
    </row>
    <row r="60" spans="1:30">
      <c r="A60" s="443"/>
      <c r="B60" s="53"/>
      <c r="C60" s="30"/>
      <c r="D60" s="50"/>
      <c r="E60" s="33"/>
      <c r="F60" s="31"/>
      <c r="G60" s="32"/>
      <c r="H60" s="42"/>
      <c r="I60" s="38"/>
      <c r="J60" s="46"/>
      <c r="K60" s="35"/>
      <c r="L60" s="435"/>
      <c r="M60" s="435"/>
      <c r="N60" s="435"/>
      <c r="O60" s="436"/>
      <c r="P60" s="36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8"/>
      <c r="V60" s="38"/>
      <c r="W60" s="38"/>
      <c r="X60" s="38"/>
      <c r="Y60" s="365">
        <f t="shared" si="14"/>
        <v>0</v>
      </c>
      <c r="Z60" s="437"/>
      <c r="AA60" s="435"/>
      <c r="AB60" s="436"/>
      <c r="AC60" s="27">
        <f t="shared" si="16"/>
        <v>0</v>
      </c>
      <c r="AD60" s="16">
        <f t="shared" si="15"/>
        <v>0</v>
      </c>
    </row>
    <row r="61" spans="1:30">
      <c r="A61" s="443"/>
      <c r="B61" s="53"/>
      <c r="C61" s="30"/>
      <c r="D61" s="50"/>
      <c r="E61" s="33"/>
      <c r="F61" s="31"/>
      <c r="G61" s="32"/>
      <c r="H61" s="42"/>
      <c r="I61" s="38"/>
      <c r="J61" s="46"/>
      <c r="K61" s="35"/>
      <c r="L61" s="435"/>
      <c r="M61" s="435"/>
      <c r="N61" s="435"/>
      <c r="O61" s="436"/>
      <c r="P61" s="36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8"/>
      <c r="V61" s="38"/>
      <c r="W61" s="38"/>
      <c r="X61" s="38"/>
      <c r="Y61" s="365">
        <f t="shared" si="14"/>
        <v>0</v>
      </c>
      <c r="Z61" s="437"/>
      <c r="AA61" s="435"/>
      <c r="AB61" s="436"/>
      <c r="AC61" s="27">
        <f>IF(B61="",0,IF(E61="",0,IF(SUMIF(B60:B89,B61,I60:I89)=0,0,IF(E61="Obligatoire",AD61/I61,IF(F61="",AD61/SUMIF(B60:B89,B61,I60:I89),AD61/(SUMIF(B60:B89,B61,I60:I89)/F61))))))</f>
        <v>0</v>
      </c>
      <c r="AD61" s="16">
        <f t="shared" si="15"/>
        <v>0</v>
      </c>
    </row>
    <row r="62" spans="1:30">
      <c r="A62" s="443"/>
      <c r="B62" s="53"/>
      <c r="C62" s="30"/>
      <c r="D62" s="50"/>
      <c r="E62" s="33"/>
      <c r="F62" s="31"/>
      <c r="G62" s="32"/>
      <c r="H62" s="42"/>
      <c r="I62" s="38"/>
      <c r="J62" s="46"/>
      <c r="K62" s="35"/>
      <c r="L62" s="435"/>
      <c r="M62" s="435"/>
      <c r="N62" s="435"/>
      <c r="O62" s="436"/>
      <c r="P62" s="36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8"/>
      <c r="V62" s="38"/>
      <c r="W62" s="38"/>
      <c r="X62" s="38"/>
      <c r="Y62" s="365">
        <f t="shared" si="14"/>
        <v>0</v>
      </c>
      <c r="Z62" s="437"/>
      <c r="AA62" s="435"/>
      <c r="AB62" s="436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5"/>
        <v>0</v>
      </c>
    </row>
    <row r="63" spans="1:30">
      <c r="A63" s="443"/>
      <c r="B63" s="53"/>
      <c r="C63" s="30"/>
      <c r="D63" s="50"/>
      <c r="E63" s="33"/>
      <c r="F63" s="31"/>
      <c r="G63" s="32"/>
      <c r="H63" s="42"/>
      <c r="I63" s="38"/>
      <c r="J63" s="46"/>
      <c r="K63" s="35"/>
      <c r="L63" s="435"/>
      <c r="M63" s="435"/>
      <c r="N63" s="435"/>
      <c r="O63" s="436"/>
      <c r="P63" s="36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65">
        <f t="shared" si="14"/>
        <v>0</v>
      </c>
      <c r="Z63" s="437"/>
      <c r="AA63" s="435"/>
      <c r="AB63" s="436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7">H63*I63</f>
        <v>0</v>
      </c>
    </row>
    <row r="64" spans="1:30">
      <c r="A64" s="443"/>
      <c r="B64" s="54"/>
      <c r="C64" s="30"/>
      <c r="D64" s="50"/>
      <c r="E64" s="33"/>
      <c r="F64" s="31"/>
      <c r="G64" s="32"/>
      <c r="H64" s="42"/>
      <c r="I64" s="38"/>
      <c r="J64" s="46"/>
      <c r="K64" s="35"/>
      <c r="L64" s="435"/>
      <c r="M64" s="435"/>
      <c r="N64" s="435"/>
      <c r="O64" s="436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65">
        <f t="shared" si="14"/>
        <v>0</v>
      </c>
      <c r="Z64" s="437"/>
      <c r="AA64" s="435"/>
      <c r="AB64" s="436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7"/>
        <v>0</v>
      </c>
    </row>
    <row r="65" spans="1:30">
      <c r="A65" s="443"/>
      <c r="B65" s="53"/>
      <c r="C65" s="30"/>
      <c r="D65" s="50"/>
      <c r="E65" s="33"/>
      <c r="F65" s="31"/>
      <c r="G65" s="32"/>
      <c r="H65" s="42"/>
      <c r="I65" s="38"/>
      <c r="J65" s="46"/>
      <c r="K65" s="35"/>
      <c r="L65" s="435"/>
      <c r="M65" s="435"/>
      <c r="N65" s="435"/>
      <c r="O65" s="436"/>
      <c r="P65" s="36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65">
        <f t="shared" si="14"/>
        <v>0</v>
      </c>
      <c r="Z65" s="437"/>
      <c r="AA65" s="435"/>
      <c r="AB65" s="436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7"/>
        <v>0</v>
      </c>
    </row>
    <row r="66" spans="1:30">
      <c r="A66" s="443"/>
      <c r="B66" s="53"/>
      <c r="C66" s="30"/>
      <c r="D66" s="50"/>
      <c r="E66" s="33"/>
      <c r="F66" s="31"/>
      <c r="G66" s="32"/>
      <c r="H66" s="42"/>
      <c r="I66" s="38"/>
      <c r="J66" s="46"/>
      <c r="K66" s="35"/>
      <c r="L66" s="435"/>
      <c r="M66" s="435"/>
      <c r="N66" s="435"/>
      <c r="O66" s="436"/>
      <c r="P66" s="36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65">
        <f t="shared" si="14"/>
        <v>0</v>
      </c>
      <c r="Z66" s="437"/>
      <c r="AA66" s="435"/>
      <c r="AB66" s="436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7"/>
        <v>0</v>
      </c>
    </row>
    <row r="67" spans="1:30">
      <c r="A67" s="443"/>
      <c r="B67" s="53"/>
      <c r="C67" s="30"/>
      <c r="D67" s="50"/>
      <c r="E67" s="33"/>
      <c r="F67" s="31"/>
      <c r="G67" s="32"/>
      <c r="H67" s="42"/>
      <c r="I67" s="38"/>
      <c r="J67" s="46"/>
      <c r="K67" s="35"/>
      <c r="L67" s="435"/>
      <c r="M67" s="435"/>
      <c r="N67" s="435"/>
      <c r="O67" s="436"/>
      <c r="P67" s="36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65">
        <f t="shared" si="14"/>
        <v>0</v>
      </c>
      <c r="Z67" s="437"/>
      <c r="AA67" s="435"/>
      <c r="AB67" s="436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7"/>
        <v>0</v>
      </c>
    </row>
    <row r="68" spans="1:30" ht="15.6" customHeight="1" thickBot="1">
      <c r="A68" s="443"/>
      <c r="B68" s="389"/>
      <c r="C68" s="33"/>
      <c r="D68" s="406"/>
      <c r="E68" s="30"/>
      <c r="F68" s="31"/>
      <c r="G68" s="32"/>
      <c r="H68" s="388"/>
      <c r="I68" s="39"/>
      <c r="J68" s="46"/>
      <c r="K68" s="35"/>
      <c r="L68" s="435"/>
      <c r="M68" s="435"/>
      <c r="N68" s="435"/>
      <c r="O68" s="436"/>
      <c r="P68" s="36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3"/>
      <c r="S68" s="384">
        <f t="shared" si="1"/>
        <v>0</v>
      </c>
      <c r="T68" s="385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86">
        <f t="shared" si="14"/>
        <v>0</v>
      </c>
      <c r="Z68" s="437"/>
      <c r="AA68" s="435"/>
      <c r="AB68" s="436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7"/>
        <v>0</v>
      </c>
    </row>
    <row r="69" spans="1:30" ht="14.45" customHeight="1">
      <c r="A69" s="443"/>
      <c r="B69" s="53"/>
      <c r="C69" s="30"/>
      <c r="D69" s="30"/>
      <c r="E69" s="404"/>
      <c r="F69" s="31"/>
      <c r="G69" s="379"/>
      <c r="H69" s="380"/>
      <c r="I69" s="38"/>
      <c r="J69" s="381"/>
      <c r="K69" s="382"/>
      <c r="L69" s="433"/>
      <c r="M69" s="433"/>
      <c r="N69" s="433"/>
      <c r="O69" s="434"/>
      <c r="P69" s="37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5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5">
        <f>SUM(U69:X69)</f>
        <v>0</v>
      </c>
      <c r="Z69" s="447"/>
      <c r="AA69" s="433"/>
      <c r="AB69" s="434"/>
      <c r="AC69" s="59">
        <f>IF(B69="",0,IF(E69="",0,IF(SUMIF(B69:B88,B69,I69:I88)=0,0,IF(E69="Obligatoire",AD69/I69,IF(F69="",AD69/SUMIF(B69:B88,B69,I69:I88),AD69/(SUMIF(B69:B88,B69,I69:I88)/F69))))))</f>
        <v>0</v>
      </c>
      <c r="AD69" s="60">
        <f>H69*I69</f>
        <v>0</v>
      </c>
    </row>
    <row r="70" spans="1:30">
      <c r="A70" s="443"/>
      <c r="B70" s="53"/>
      <c r="C70" s="30"/>
      <c r="D70" s="50"/>
      <c r="E70" s="33"/>
      <c r="F70" s="31"/>
      <c r="G70" s="32"/>
      <c r="H70" s="42"/>
      <c r="I70" s="38"/>
      <c r="J70" s="46"/>
      <c r="K70" s="35"/>
      <c r="L70" s="435"/>
      <c r="M70" s="435"/>
      <c r="N70" s="435"/>
      <c r="O70" s="436"/>
      <c r="P70" s="364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65">
        <f t="shared" ref="Y70:Y88" si="18">SUM(U70:X70)</f>
        <v>0</v>
      </c>
      <c r="Z70" s="437"/>
      <c r="AA70" s="435"/>
      <c r="AB70" s="436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>
      <c r="A71" s="443"/>
      <c r="B71" s="53"/>
      <c r="C71" s="30"/>
      <c r="D71" s="50"/>
      <c r="E71" s="33"/>
      <c r="F71" s="31"/>
      <c r="G71" s="32"/>
      <c r="H71" s="42"/>
      <c r="I71" s="38"/>
      <c r="J71" s="46"/>
      <c r="K71" s="35"/>
      <c r="L71" s="435"/>
      <c r="M71" s="435"/>
      <c r="N71" s="435"/>
      <c r="O71" s="436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9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65">
        <f t="shared" si="18"/>
        <v>0</v>
      </c>
      <c r="Z71" s="437"/>
      <c r="AA71" s="435"/>
      <c r="AB71" s="436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>
      <c r="A72" s="443"/>
      <c r="B72" s="53"/>
      <c r="C72" s="30"/>
      <c r="D72" s="408"/>
      <c r="E72" s="407"/>
      <c r="F72" s="31"/>
      <c r="G72" s="32"/>
      <c r="H72" s="42"/>
      <c r="I72" s="38"/>
      <c r="J72" s="46"/>
      <c r="K72" s="35"/>
      <c r="L72" s="435"/>
      <c r="M72" s="435"/>
      <c r="N72" s="435"/>
      <c r="O72" s="436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9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65">
        <f t="shared" si="18"/>
        <v>0</v>
      </c>
      <c r="Z72" s="437"/>
      <c r="AA72" s="435"/>
      <c r="AB72" s="436"/>
      <c r="AC72" s="27">
        <f t="shared" ref="AC72" si="20">IF(B72="",0,IF(E72="",0,IF(SUMIF(B70:B89,B72,I70:I89)=0,0,IF(E72="Obligatoire",AD72/I72,IF(F72="",AD72/SUMIF(B70:B89,B72,I70:I89),AD72/(SUMIF(B70:B89,B72,I70:I89)/F72))))))</f>
        <v>0</v>
      </c>
      <c r="AD72" s="16">
        <f t="shared" ref="AD72:AD84" si="21">H72*I72</f>
        <v>0</v>
      </c>
    </row>
    <row r="73" spans="1:30">
      <c r="A73" s="443"/>
      <c r="B73" s="53"/>
      <c r="C73" s="30"/>
      <c r="D73" s="408"/>
      <c r="E73" s="50"/>
      <c r="F73" s="31"/>
      <c r="G73" s="32"/>
      <c r="H73" s="42"/>
      <c r="I73" s="38"/>
      <c r="J73" s="46"/>
      <c r="K73" s="35"/>
      <c r="L73" s="435"/>
      <c r="M73" s="435"/>
      <c r="N73" s="435"/>
      <c r="O73" s="436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9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8"/>
        <v>0</v>
      </c>
      <c r="Z73" s="437"/>
      <c r="AA73" s="435"/>
      <c r="AB73" s="436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1"/>
        <v>0</v>
      </c>
    </row>
    <row r="74" spans="1:30">
      <c r="A74" s="443"/>
      <c r="B74" s="53"/>
      <c r="C74" s="30"/>
      <c r="D74" s="408"/>
      <c r="E74" s="50"/>
      <c r="F74" s="31"/>
      <c r="G74" s="32"/>
      <c r="H74" s="42"/>
      <c r="I74" s="38"/>
      <c r="J74" s="46"/>
      <c r="K74" s="35"/>
      <c r="L74" s="435"/>
      <c r="M74" s="435"/>
      <c r="N74" s="435"/>
      <c r="O74" s="436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9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8"/>
        <v>0</v>
      </c>
      <c r="Z74" s="437"/>
      <c r="AA74" s="435"/>
      <c r="AB74" s="436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1"/>
        <v>0</v>
      </c>
    </row>
    <row r="75" spans="1:30">
      <c r="A75" s="443"/>
      <c r="B75" s="53"/>
      <c r="C75" s="30"/>
      <c r="D75" s="408"/>
      <c r="E75" s="50"/>
      <c r="F75" s="31"/>
      <c r="G75" s="32"/>
      <c r="H75" s="42"/>
      <c r="I75" s="38"/>
      <c r="J75" s="46"/>
      <c r="K75" s="35"/>
      <c r="L75" s="435"/>
      <c r="M75" s="435"/>
      <c r="N75" s="435"/>
      <c r="O75" s="436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9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8"/>
        <v>0</v>
      </c>
      <c r="Z75" s="437"/>
      <c r="AA75" s="435"/>
      <c r="AB75" s="436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1"/>
        <v>0</v>
      </c>
    </row>
    <row r="76" spans="1:30">
      <c r="A76" s="443"/>
      <c r="B76" s="53"/>
      <c r="C76" s="30"/>
      <c r="D76" s="408"/>
      <c r="E76" s="50"/>
      <c r="F76" s="31"/>
      <c r="G76" s="32"/>
      <c r="H76" s="42"/>
      <c r="I76" s="38"/>
      <c r="J76" s="46"/>
      <c r="K76" s="35"/>
      <c r="L76" s="435"/>
      <c r="M76" s="435"/>
      <c r="N76" s="435"/>
      <c r="O76" s="436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9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8"/>
        <v>0</v>
      </c>
      <c r="Z76" s="437"/>
      <c r="AA76" s="435"/>
      <c r="AB76" s="436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1"/>
        <v>0</v>
      </c>
    </row>
    <row r="77" spans="1:30">
      <c r="A77" s="443"/>
      <c r="B77" s="53"/>
      <c r="C77" s="30"/>
      <c r="D77" s="408"/>
      <c r="E77" s="50"/>
      <c r="F77" s="31"/>
      <c r="G77" s="32"/>
      <c r="H77" s="42"/>
      <c r="I77" s="38"/>
      <c r="J77" s="46"/>
      <c r="K77" s="35"/>
      <c r="L77" s="435"/>
      <c r="M77" s="435"/>
      <c r="N77" s="435"/>
      <c r="O77" s="436"/>
      <c r="P77" s="36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9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65">
        <f t="shared" si="18"/>
        <v>0</v>
      </c>
      <c r="Z77" s="437"/>
      <c r="AA77" s="435"/>
      <c r="AB77" s="436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1"/>
        <v>0</v>
      </c>
    </row>
    <row r="78" spans="1:30">
      <c r="A78" s="443"/>
      <c r="B78" s="53"/>
      <c r="C78" s="30"/>
      <c r="D78" s="408"/>
      <c r="E78" s="50"/>
      <c r="F78" s="31"/>
      <c r="G78" s="32"/>
      <c r="H78" s="42"/>
      <c r="I78" s="38"/>
      <c r="J78" s="46"/>
      <c r="K78" s="35"/>
      <c r="L78" s="435"/>
      <c r="M78" s="435"/>
      <c r="N78" s="435"/>
      <c r="O78" s="436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9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8"/>
        <v>0</v>
      </c>
      <c r="Z78" s="437"/>
      <c r="AA78" s="435"/>
      <c r="AB78" s="436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1"/>
        <v>0</v>
      </c>
    </row>
    <row r="79" spans="1:30">
      <c r="A79" s="443"/>
      <c r="B79" s="53"/>
      <c r="C79" s="30"/>
      <c r="D79" s="408"/>
      <c r="E79" s="50"/>
      <c r="F79" s="31"/>
      <c r="G79" s="32"/>
      <c r="H79" s="42"/>
      <c r="I79" s="38"/>
      <c r="J79" s="46"/>
      <c r="K79" s="35"/>
      <c r="L79" s="435"/>
      <c r="M79" s="435"/>
      <c r="N79" s="435"/>
      <c r="O79" s="436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9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8"/>
        <v>0</v>
      </c>
      <c r="Z79" s="437"/>
      <c r="AA79" s="435"/>
      <c r="AB79" s="436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1"/>
        <v>0</v>
      </c>
    </row>
    <row r="80" spans="1:30">
      <c r="A80" s="443"/>
      <c r="B80" s="53"/>
      <c r="C80" s="30"/>
      <c r="D80" s="408"/>
      <c r="E80" s="50"/>
      <c r="F80" s="31"/>
      <c r="G80" s="32"/>
      <c r="H80" s="42"/>
      <c r="I80" s="38"/>
      <c r="J80" s="46"/>
      <c r="K80" s="35"/>
      <c r="L80" s="435"/>
      <c r="M80" s="435"/>
      <c r="N80" s="435"/>
      <c r="O80" s="436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9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8"/>
        <v>0</v>
      </c>
      <c r="Z80" s="437"/>
      <c r="AA80" s="435"/>
      <c r="AB80" s="436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1"/>
        <v>0</v>
      </c>
    </row>
    <row r="81" spans="1:30">
      <c r="A81" s="443"/>
      <c r="B81" s="53"/>
      <c r="C81" s="30"/>
      <c r="D81" s="408"/>
      <c r="E81" s="50"/>
      <c r="F81" s="31"/>
      <c r="G81" s="32"/>
      <c r="H81" s="42"/>
      <c r="I81" s="38"/>
      <c r="J81" s="46"/>
      <c r="K81" s="35"/>
      <c r="L81" s="435"/>
      <c r="M81" s="435"/>
      <c r="N81" s="435"/>
      <c r="O81" s="436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9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8"/>
        <v>0</v>
      </c>
      <c r="Z81" s="437"/>
      <c r="AA81" s="435"/>
      <c r="AB81" s="436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1"/>
        <v>0</v>
      </c>
    </row>
    <row r="82" spans="1:30">
      <c r="A82" s="443"/>
      <c r="B82" s="53"/>
      <c r="C82" s="30"/>
      <c r="D82" s="408"/>
      <c r="E82" s="50"/>
      <c r="F82" s="31"/>
      <c r="G82" s="32"/>
      <c r="H82" s="42"/>
      <c r="I82" s="38"/>
      <c r="J82" s="46"/>
      <c r="K82" s="35"/>
      <c r="L82" s="435"/>
      <c r="M82" s="435"/>
      <c r="N82" s="435"/>
      <c r="O82" s="436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9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8"/>
        <v>0</v>
      </c>
      <c r="Z82" s="437"/>
      <c r="AA82" s="435"/>
      <c r="AB82" s="436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1"/>
        <v>0</v>
      </c>
    </row>
    <row r="83" spans="1:30">
      <c r="A83" s="443"/>
      <c r="B83" s="53"/>
      <c r="C83" s="30"/>
      <c r="D83" s="408"/>
      <c r="E83" s="50"/>
      <c r="F83" s="31"/>
      <c r="G83" s="32"/>
      <c r="H83" s="42"/>
      <c r="I83" s="38"/>
      <c r="J83" s="46"/>
      <c r="K83" s="35"/>
      <c r="L83" s="435"/>
      <c r="M83" s="435"/>
      <c r="N83" s="435"/>
      <c r="O83" s="436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9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8"/>
        <v>0</v>
      </c>
      <c r="Z83" s="437"/>
      <c r="AA83" s="435"/>
      <c r="AB83" s="436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1"/>
        <v>0</v>
      </c>
    </row>
    <row r="84" spans="1:30">
      <c r="A84" s="443"/>
      <c r="B84" s="53"/>
      <c r="C84" s="30"/>
      <c r="D84" s="408"/>
      <c r="E84" s="50"/>
      <c r="F84" s="31"/>
      <c r="G84" s="32"/>
      <c r="H84" s="42"/>
      <c r="I84" s="38"/>
      <c r="J84" s="46"/>
      <c r="K84" s="35"/>
      <c r="L84" s="435"/>
      <c r="M84" s="435"/>
      <c r="N84" s="435"/>
      <c r="O84" s="436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9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8"/>
        <v>0</v>
      </c>
      <c r="Z84" s="437"/>
      <c r="AA84" s="435"/>
      <c r="AB84" s="436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1"/>
        <v>0</v>
      </c>
    </row>
    <row r="85" spans="1:30">
      <c r="A85" s="443"/>
      <c r="B85" s="53"/>
      <c r="C85" s="30"/>
      <c r="D85" s="408"/>
      <c r="E85" s="50"/>
      <c r="F85" s="31"/>
      <c r="G85" s="32"/>
      <c r="H85" s="42"/>
      <c r="I85" s="38"/>
      <c r="J85" s="46"/>
      <c r="K85" s="35"/>
      <c r="L85" s="435"/>
      <c r="M85" s="435"/>
      <c r="N85" s="435"/>
      <c r="O85" s="436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9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8"/>
        <v>0</v>
      </c>
      <c r="Z85" s="437"/>
      <c r="AA85" s="435"/>
      <c r="AB85" s="436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>
      <c r="A86" s="443"/>
      <c r="B86" s="53"/>
      <c r="C86" s="30"/>
      <c r="D86" s="408"/>
      <c r="E86" s="50"/>
      <c r="F86" s="31"/>
      <c r="G86" s="32"/>
      <c r="H86" s="42"/>
      <c r="I86" s="38"/>
      <c r="J86" s="46"/>
      <c r="K86" s="35"/>
      <c r="L86" s="435"/>
      <c r="M86" s="435"/>
      <c r="N86" s="435"/>
      <c r="O86" s="436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9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8"/>
        <v>0</v>
      </c>
      <c r="Z86" s="437"/>
      <c r="AA86" s="435"/>
      <c r="AB86" s="436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>
      <c r="A87" s="443"/>
      <c r="B87" s="53"/>
      <c r="C87" s="30"/>
      <c r="D87" s="408"/>
      <c r="E87" s="50"/>
      <c r="F87" s="31"/>
      <c r="G87" s="32"/>
      <c r="H87" s="42"/>
      <c r="I87" s="38"/>
      <c r="J87" s="46"/>
      <c r="K87" s="35"/>
      <c r="L87" s="435"/>
      <c r="M87" s="435"/>
      <c r="N87" s="435"/>
      <c r="O87" s="436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9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8"/>
        <v>0</v>
      </c>
      <c r="Z87" s="437"/>
      <c r="AA87" s="435"/>
      <c r="AB87" s="436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>
      <c r="A88" s="443"/>
      <c r="B88" s="53"/>
      <c r="C88" s="30"/>
      <c r="D88" s="408"/>
      <c r="E88" s="50"/>
      <c r="F88" s="31"/>
      <c r="G88" s="32"/>
      <c r="H88" s="42"/>
      <c r="I88" s="38"/>
      <c r="J88" s="46"/>
      <c r="K88" s="35"/>
      <c r="L88" s="435"/>
      <c r="M88" s="435"/>
      <c r="N88" s="435"/>
      <c r="O88" s="436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9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8"/>
        <v>0</v>
      </c>
      <c r="Z88" s="437"/>
      <c r="AA88" s="435"/>
      <c r="AB88" s="436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>
      <c r="A89" s="444"/>
      <c r="B89" s="55"/>
      <c r="C89" s="19"/>
      <c r="D89" s="65"/>
      <c r="E89" s="19"/>
      <c r="F89" s="20"/>
      <c r="G89" s="18"/>
      <c r="H89" s="48">
        <f>AC89</f>
        <v>38</v>
      </c>
      <c r="I89" s="43"/>
      <c r="J89" s="47"/>
      <c r="K89" s="52"/>
      <c r="L89" s="61"/>
      <c r="M89" s="61"/>
      <c r="N89" s="61"/>
      <c r="O89" s="62"/>
      <c r="P89" s="391"/>
      <c r="Q89" s="392">
        <f>SUM(Q49:Q88)</f>
        <v>6</v>
      </c>
      <c r="R89" s="360">
        <f>SUM(R49:R88)</f>
        <v>194</v>
      </c>
      <c r="S89" s="393">
        <f>SUM(S49:S88)</f>
        <v>200</v>
      </c>
      <c r="T89" s="66">
        <f>SUM(T49:T88)</f>
        <v>200</v>
      </c>
      <c r="U89" s="393">
        <f t="shared" ref="U89" si="22">SUM(U49:U88)</f>
        <v>141.33333333333331</v>
      </c>
      <c r="V89" s="393">
        <f t="shared" ref="V89" si="23">SUM(V49:V88)</f>
        <v>0</v>
      </c>
      <c r="W89" s="393">
        <f t="shared" ref="W89" si="24">SUM(W49:W88)</f>
        <v>58.666666666666671</v>
      </c>
      <c r="X89" s="393">
        <f t="shared" ref="X89" si="25">SUM(X49:X88)</f>
        <v>0</v>
      </c>
      <c r="Y89" s="393">
        <f t="shared" ref="Y89" si="26">SUM(Y49:Y88)</f>
        <v>200</v>
      </c>
      <c r="Z89" s="369"/>
      <c r="AA89" s="63"/>
      <c r="AB89" s="370"/>
      <c r="AC89" s="64">
        <f>SUM(AC49:AC88)</f>
        <v>38</v>
      </c>
      <c r="AD89" s="26">
        <f>SUM(AD49:AD88)</f>
        <v>836</v>
      </c>
    </row>
    <row r="90" spans="1:30" ht="16.149999999999999" thickBot="1">
      <c r="A90" s="416"/>
      <c r="B90" s="21"/>
      <c r="C90" s="21"/>
      <c r="D90" s="21"/>
      <c r="E90" s="21"/>
      <c r="F90" s="21"/>
      <c r="G90" s="22"/>
      <c r="H90" s="49">
        <f>ROUND(H48+H89,1)</f>
        <v>402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316</v>
      </c>
      <c r="R90" s="67">
        <f t="shared" ref="R90:T90" si="27">R48+R89</f>
        <v>194</v>
      </c>
      <c r="S90" s="67">
        <f t="shared" si="27"/>
        <v>510</v>
      </c>
      <c r="T90" s="67">
        <f t="shared" si="27"/>
        <v>628.5</v>
      </c>
    </row>
    <row r="91" spans="1:30" ht="18" customHeight="1">
      <c r="M91" s="25"/>
    </row>
  </sheetData>
  <sheetProtection algorithmName="SHA-512" hashValue="OAIdz5eGDgGPDjSsZhqIkFHRs8mYqv0V+XzobdQx3B9pfNAr38ApZUbUsGImbvBUZ/ID2dkPQhdGQWev35Z3tQ==" saltValue="eJ74Fwgl9JHrIenpw5dxDA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75" priority="383">
      <formula>$G8=#REF!</formula>
    </cfRule>
    <cfRule type="expression" dxfId="74" priority="384">
      <formula>$G8=#REF!</formula>
    </cfRule>
    <cfRule type="expression" dxfId="73" priority="385">
      <formula>$G8=#REF!</formula>
    </cfRule>
    <cfRule type="expression" dxfId="72" priority="386">
      <formula>$G8=#REF!</formula>
    </cfRule>
  </conditionalFormatting>
  <conditionalFormatting sqref="Z9:Z11">
    <cfRule type="expression" dxfId="71" priority="349">
      <formula>$G9=#REF!</formula>
    </cfRule>
    <cfRule type="expression" dxfId="70" priority="350">
      <formula>$G9=#REF!</formula>
    </cfRule>
    <cfRule type="expression" dxfId="69" priority="351">
      <formula>$G9=#REF!</formula>
    </cfRule>
    <cfRule type="expression" dxfId="68" priority="352">
      <formula>$G9=#REF!</formula>
    </cfRule>
  </conditionalFormatting>
  <conditionalFormatting sqref="Z28:Z29">
    <cfRule type="expression" dxfId="67" priority="335">
      <formula>$G28=#REF!</formula>
    </cfRule>
    <cfRule type="expression" dxfId="66" priority="336">
      <formula>$G28=#REF!</formula>
    </cfRule>
    <cfRule type="expression" dxfId="65" priority="337">
      <formula>$G28=#REF!</formula>
    </cfRule>
    <cfRule type="expression" dxfId="64" priority="338">
      <formula>$G28=#REF!</formula>
    </cfRule>
  </conditionalFormatting>
  <conditionalFormatting sqref="Z49:Z68">
    <cfRule type="expression" dxfId="63" priority="321">
      <formula>$G49=#REF!</formula>
    </cfRule>
    <cfRule type="expression" dxfId="62" priority="322">
      <formula>$G49=#REF!</formula>
    </cfRule>
    <cfRule type="expression" dxfId="61" priority="323">
      <formula>$G49=#REF!</formula>
    </cfRule>
    <cfRule type="expression" dxfId="60" priority="324">
      <formula>$G49=#REF!</formula>
    </cfRule>
  </conditionalFormatting>
  <conditionalFormatting sqref="Z69:Z71">
    <cfRule type="expression" dxfId="59" priority="307">
      <formula>$G69=#REF!</formula>
    </cfRule>
    <cfRule type="expression" dxfId="58" priority="308">
      <formula>$G69=#REF!</formula>
    </cfRule>
    <cfRule type="expression" dxfId="57" priority="309">
      <formula>$G69=#REF!</formula>
    </cfRule>
    <cfRule type="expression" dxfId="56" priority="310">
      <formula>$G69=#REF!</formula>
    </cfRule>
  </conditionalFormatting>
  <conditionalFormatting sqref="K90">
    <cfRule type="cellIs" dxfId="55" priority="102" operator="equal">
      <formula>"Mut+ext"</formula>
    </cfRule>
  </conditionalFormatting>
  <conditionalFormatting sqref="K48 K89">
    <cfRule type="cellIs" dxfId="54" priority="117" operator="equal">
      <formula>"Mut+ext"</formula>
    </cfRule>
  </conditionalFormatting>
  <conditionalFormatting sqref="K8:K27">
    <cfRule type="cellIs" dxfId="53" priority="114" operator="equal">
      <formula>"Mut+ext"</formula>
    </cfRule>
  </conditionalFormatting>
  <conditionalFormatting sqref="K28:K47">
    <cfRule type="cellIs" dxfId="52" priority="112" operator="equal">
      <formula>"Mut+ext"</formula>
    </cfRule>
  </conditionalFormatting>
  <conditionalFormatting sqref="K49:K68">
    <cfRule type="cellIs" dxfId="51" priority="110" operator="equal">
      <formula>"Mut+ext"</formula>
    </cfRule>
  </conditionalFormatting>
  <conditionalFormatting sqref="K69:K71 K85:K88">
    <cfRule type="cellIs" dxfId="50" priority="108" operator="equal">
      <formula>"Mut+ext"</formula>
    </cfRule>
  </conditionalFormatting>
  <conditionalFormatting sqref="Z12:Z24">
    <cfRule type="expression" dxfId="49" priority="69">
      <formula>$G12=#REF!</formula>
    </cfRule>
    <cfRule type="expression" dxfId="48" priority="70">
      <formula>$G12=#REF!</formula>
    </cfRule>
    <cfRule type="expression" dxfId="47" priority="71">
      <formula>$G12=#REF!</formula>
    </cfRule>
    <cfRule type="expression" dxfId="46" priority="72">
      <formula>$G12=#REF!</formula>
    </cfRule>
  </conditionalFormatting>
  <conditionalFormatting sqref="Z30">
    <cfRule type="expression" dxfId="45" priority="65">
      <formula>$G30=#REF!</formula>
    </cfRule>
    <cfRule type="expression" dxfId="44" priority="66">
      <formula>$G30=#REF!</formula>
    </cfRule>
    <cfRule type="expression" dxfId="43" priority="67">
      <formula>$G30=#REF!</formula>
    </cfRule>
    <cfRule type="expression" dxfId="42" priority="68">
      <formula>$G30=#REF!</formula>
    </cfRule>
  </conditionalFormatting>
  <conditionalFormatting sqref="Z31:Z32">
    <cfRule type="expression" dxfId="41" priority="57">
      <formula>$G31=#REF!</formula>
    </cfRule>
    <cfRule type="expression" dxfId="40" priority="58">
      <formula>$G31=#REF!</formula>
    </cfRule>
    <cfRule type="expression" dxfId="39" priority="59">
      <formula>$G31=#REF!</formula>
    </cfRule>
    <cfRule type="expression" dxfId="38" priority="60">
      <formula>$G31=#REF!</formula>
    </cfRule>
  </conditionalFormatting>
  <conditionalFormatting sqref="Z33:Z34">
    <cfRule type="expression" dxfId="37" priority="53">
      <formula>$G33=#REF!</formula>
    </cfRule>
    <cfRule type="expression" dxfId="36" priority="54">
      <formula>$G33=#REF!</formula>
    </cfRule>
    <cfRule type="expression" dxfId="35" priority="55">
      <formula>$G33=#REF!</formula>
    </cfRule>
    <cfRule type="expression" dxfId="34" priority="56">
      <formula>$G33=#REF!</formula>
    </cfRule>
  </conditionalFormatting>
  <conditionalFormatting sqref="Z72:Z84">
    <cfRule type="expression" dxfId="33" priority="49">
      <formula>$G72=#REF!</formula>
    </cfRule>
    <cfRule type="expression" dxfId="32" priority="50">
      <formula>$G72=#REF!</formula>
    </cfRule>
    <cfRule type="expression" dxfId="31" priority="51">
      <formula>$G72=#REF!</formula>
    </cfRule>
    <cfRule type="expression" dxfId="30" priority="52">
      <formula>$G72=#REF!</formula>
    </cfRule>
  </conditionalFormatting>
  <conditionalFormatting sqref="K72:K84">
    <cfRule type="cellIs" dxfId="29" priority="47" operator="equal">
      <formula>"Mut+ext"</formula>
    </cfRule>
  </conditionalFormatting>
  <conditionalFormatting sqref="Y28:Y47">
    <cfRule type="cellIs" dxfId="28" priority="35" operator="notEqual">
      <formula>S28</formula>
    </cfRule>
  </conditionalFormatting>
  <conditionalFormatting sqref="Y49:Y68">
    <cfRule type="cellIs" dxfId="27" priority="33" operator="notEqual">
      <formula>S49</formula>
    </cfRule>
  </conditionalFormatting>
  <conditionalFormatting sqref="Y69:Y88">
    <cfRule type="cellIs" dxfId="26" priority="31" operator="notEqual">
      <formula>S69</formula>
    </cfRule>
  </conditionalFormatting>
  <conditionalFormatting sqref="Y8:Y27">
    <cfRule type="cellIs" dxfId="25" priority="25" operator="notEqual">
      <formula>S8</formula>
    </cfRule>
  </conditionalFormatting>
  <conditionalFormatting sqref="F8:F11 F24:F27 F13:F19">
    <cfRule type="expression" dxfId="24" priority="22">
      <formula>E8="obligatoire"</formula>
    </cfRule>
  </conditionalFormatting>
  <conditionalFormatting sqref="F28:F47">
    <cfRule type="expression" dxfId="23" priority="21">
      <formula>E28="obligatoire"</formula>
    </cfRule>
  </conditionalFormatting>
  <conditionalFormatting sqref="F61:F68">
    <cfRule type="expression" dxfId="22" priority="20">
      <formula>E61="obligatoire"</formula>
    </cfRule>
  </conditionalFormatting>
  <conditionalFormatting sqref="F69:F88">
    <cfRule type="expression" dxfId="21" priority="19">
      <formula>E69="obligatoire"</formula>
    </cfRule>
  </conditionalFormatting>
  <conditionalFormatting sqref="F12">
    <cfRule type="expression" dxfId="20" priority="15">
      <formula>E12="obligatoire"</formula>
    </cfRule>
  </conditionalFormatting>
  <conditionalFormatting sqref="F52:F54 F57:F59">
    <cfRule type="expression" dxfId="19" priority="14">
      <formula>E52="obligatoire"</formula>
    </cfRule>
  </conditionalFormatting>
  <conditionalFormatting sqref="F49:F54">
    <cfRule type="expression" dxfId="18" priority="13">
      <formula>E49="obligatoire"</formula>
    </cfRule>
  </conditionalFormatting>
  <conditionalFormatting sqref="F20:F21">
    <cfRule type="expression" dxfId="17" priority="12">
      <formula>E20="obligatoire"</formula>
    </cfRule>
  </conditionalFormatting>
  <conditionalFormatting sqref="F57">
    <cfRule type="expression" dxfId="16" priority="9">
      <formula>E57="obligatoire"</formula>
    </cfRule>
  </conditionalFormatting>
  <conditionalFormatting sqref="F57">
    <cfRule type="expression" dxfId="15" priority="8">
      <formula>E57="obligatoire"</formula>
    </cfRule>
  </conditionalFormatting>
  <conditionalFormatting sqref="F60">
    <cfRule type="expression" dxfId="14" priority="7">
      <formula>E60="obligatoire"</formula>
    </cfRule>
  </conditionalFormatting>
  <conditionalFormatting sqref="F23">
    <cfRule type="expression" dxfId="13" priority="6">
      <formula>E23="obligatoire"</formula>
    </cfRule>
  </conditionalFormatting>
  <conditionalFormatting sqref="F22">
    <cfRule type="expression" dxfId="12" priority="5">
      <formula>E22="obligatoire"</formula>
    </cfRule>
  </conditionalFormatting>
  <conditionalFormatting sqref="F22">
    <cfRule type="expression" dxfId="11" priority="4">
      <formula>E22="obligatoire"</formula>
    </cfRule>
  </conditionalFormatting>
  <conditionalFormatting sqref="F59">
    <cfRule type="expression" dxfId="10" priority="3">
      <formula>E59="obligatoire"</formula>
    </cfRule>
  </conditionalFormatting>
  <conditionalFormatting sqref="F55:F56">
    <cfRule type="expression" dxfId="9" priority="2">
      <formula>E55="obligatoire"</formula>
    </cfRule>
  </conditionalFormatting>
  <conditionalFormatting sqref="F55:F56">
    <cfRule type="expression" dxfId="8" priority="1">
      <formula>E55="obligatoire"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1"/>
  <sheetViews>
    <sheetView tabSelected="1" zoomScaleNormal="100" workbookViewId="0">
      <pane ySplit="11" topLeftCell="B15" activePane="bottomLeft" state="frozen"/>
      <selection pane="bottomLeft" activeCell="E22" sqref="E22"/>
    </sheetView>
  </sheetViews>
  <sheetFormatPr defaultColWidth="11.5703125" defaultRowHeight="13.9"/>
  <cols>
    <col min="1" max="1" width="3.140625" style="69" customWidth="1"/>
    <col min="2" max="2" width="12.7109375" style="69" customWidth="1"/>
    <col min="3" max="3" width="24" style="69" customWidth="1"/>
    <col min="4" max="6" width="11.5703125" style="69"/>
    <col min="7" max="7" width="11.42578125" style="69" customWidth="1"/>
    <col min="8" max="11" width="11.5703125" style="69"/>
    <col min="12" max="12" width="22.28515625" style="69" customWidth="1"/>
    <col min="13" max="13" width="11.5703125" style="69" customWidth="1"/>
    <col min="14" max="14" width="24.28515625" style="69" customWidth="1"/>
    <col min="15" max="15" width="9.85546875" style="69" customWidth="1"/>
    <col min="16" max="17" width="6.7109375" style="69" customWidth="1"/>
    <col min="18" max="16384" width="11.5703125" style="69"/>
  </cols>
  <sheetData>
    <row r="1" spans="1:19" ht="7.15" customHeight="1" thickBot="1">
      <c r="H1" s="70"/>
      <c r="I1" s="71"/>
      <c r="J1" s="72"/>
      <c r="K1" s="70"/>
      <c r="L1" s="70"/>
    </row>
    <row r="2" spans="1:19" ht="28.15" customHeight="1" thickBot="1">
      <c r="A2" s="73"/>
      <c r="B2" s="504" t="s">
        <v>100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495"/>
    </row>
    <row r="3" spans="1:19" ht="12.6" customHeight="1">
      <c r="F3" s="70"/>
      <c r="G3" s="70"/>
      <c r="H3" s="70"/>
      <c r="I3" s="70"/>
      <c r="J3" s="72"/>
      <c r="K3" s="70"/>
      <c r="L3" s="70"/>
    </row>
    <row r="4" spans="1:19" ht="22.15" customHeight="1">
      <c r="C4" s="74" t="s">
        <v>101</v>
      </c>
      <c r="D4" s="501" t="s">
        <v>102</v>
      </c>
      <c r="E4" s="503"/>
      <c r="G4" s="74" t="s">
        <v>103</v>
      </c>
      <c r="H4" s="501" t="s">
        <v>104</v>
      </c>
      <c r="I4" s="502"/>
      <c r="J4" s="502"/>
      <c r="K4" s="503"/>
    </row>
    <row r="5" spans="1:19" ht="22.15" customHeight="1">
      <c r="C5" s="75" t="s">
        <v>105</v>
      </c>
      <c r="D5" s="501" t="s">
        <v>106</v>
      </c>
      <c r="E5" s="503"/>
      <c r="G5" s="74" t="s">
        <v>107</v>
      </c>
      <c r="H5" s="501" t="s">
        <v>108</v>
      </c>
      <c r="I5" s="502"/>
      <c r="J5" s="502"/>
      <c r="K5" s="503"/>
    </row>
    <row r="6" spans="1:19" ht="22.15" customHeight="1">
      <c r="C6" s="488" t="s">
        <v>109</v>
      </c>
      <c r="D6" s="489"/>
      <c r="E6" s="76">
        <v>22</v>
      </c>
      <c r="G6" s="74" t="s">
        <v>110</v>
      </c>
      <c r="H6" s="501" t="s">
        <v>111</v>
      </c>
      <c r="I6" s="502"/>
      <c r="J6" s="502"/>
      <c r="K6" s="503"/>
      <c r="N6" s="77" t="s">
        <v>112</v>
      </c>
    </row>
    <row r="7" spans="1:19" ht="22.15" customHeight="1">
      <c r="C7" s="488" t="s">
        <v>113</v>
      </c>
      <c r="D7" s="489"/>
      <c r="E7" s="76">
        <v>22</v>
      </c>
      <c r="G7" s="78" t="s">
        <v>114</v>
      </c>
      <c r="J7" s="79">
        <v>2022</v>
      </c>
      <c r="K7" s="79">
        <v>2023</v>
      </c>
    </row>
    <row r="8" spans="1:19" ht="18" customHeight="1">
      <c r="E8" s="80"/>
      <c r="G8" s="81"/>
    </row>
    <row r="9" spans="1:19" ht="25.9" customHeight="1">
      <c r="B9" s="490" t="s">
        <v>115</v>
      </c>
      <c r="C9" s="490"/>
      <c r="D9" s="490"/>
      <c r="E9" s="82">
        <f>'Budget détaillé'!J75</f>
        <v>0</v>
      </c>
      <c r="F9" s="491" t="s">
        <v>116</v>
      </c>
      <c r="G9" s="491"/>
      <c r="H9" s="83"/>
      <c r="I9" s="84" t="s">
        <v>117</v>
      </c>
      <c r="J9" s="82">
        <f>'Recettes et simulat'!J28+'Recettes et simulat'!F39-'Budget détaillé'!K62</f>
        <v>1665</v>
      </c>
    </row>
    <row r="10" spans="1:19" ht="22.15" customHeight="1">
      <c r="B10" s="490" t="s">
        <v>118</v>
      </c>
      <c r="C10" s="490"/>
      <c r="D10" s="490"/>
      <c r="E10" s="82">
        <f>E9+J9</f>
        <v>1665</v>
      </c>
      <c r="F10" s="491"/>
      <c r="G10" s="491"/>
      <c r="H10" s="492" t="s">
        <v>119</v>
      </c>
      <c r="I10" s="493"/>
      <c r="J10" s="82">
        <f>'Budget détaillé'!K63</f>
        <v>7049.318181818182</v>
      </c>
    </row>
    <row r="11" spans="1:19" ht="16.899999999999999" customHeight="1" thickBot="1"/>
    <row r="12" spans="1:19" ht="18.600000000000001" customHeight="1" thickBot="1">
      <c r="B12" s="485" t="s">
        <v>120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7"/>
    </row>
    <row r="13" spans="1:19" ht="14.45" thickBot="1"/>
    <row r="14" spans="1:19" ht="55.9" thickBot="1">
      <c r="B14" s="85" t="s">
        <v>121</v>
      </c>
      <c r="C14" s="86" t="s">
        <v>122</v>
      </c>
      <c r="D14" s="86" t="s">
        <v>13</v>
      </c>
      <c r="E14" s="86" t="s">
        <v>123</v>
      </c>
      <c r="F14" s="86" t="s">
        <v>124</v>
      </c>
      <c r="G14" s="86" t="s">
        <v>0</v>
      </c>
      <c r="H14" s="87" t="s">
        <v>125</v>
      </c>
      <c r="I14" s="86" t="s">
        <v>126</v>
      </c>
      <c r="J14" s="86" t="s">
        <v>127</v>
      </c>
      <c r="K14" s="86" t="s">
        <v>128</v>
      </c>
      <c r="L14" s="494" t="s">
        <v>129</v>
      </c>
      <c r="M14" s="495"/>
      <c r="O14" s="88" t="s">
        <v>130</v>
      </c>
      <c r="P14" s="88">
        <v>250</v>
      </c>
      <c r="Q14" s="88">
        <v>402</v>
      </c>
      <c r="R14" s="163"/>
      <c r="S14" s="163"/>
    </row>
    <row r="15" spans="1:19" ht="20.45" customHeight="1">
      <c r="B15" s="496" t="s">
        <v>131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8"/>
      <c r="O15" s="88" t="s">
        <v>132</v>
      </c>
      <c r="P15" s="88">
        <v>402</v>
      </c>
      <c r="Q15" s="88"/>
      <c r="R15" s="163"/>
      <c r="S15" s="163"/>
    </row>
    <row r="16" spans="1:19" ht="16.899999999999999" customHeight="1" thickBot="1">
      <c r="B16" s="499" t="s">
        <v>133</v>
      </c>
      <c r="C16" s="500"/>
      <c r="D16" s="89"/>
      <c r="E16" s="90">
        <v>243</v>
      </c>
      <c r="F16" s="91">
        <f>E6-E7</f>
        <v>0</v>
      </c>
      <c r="G16" s="92">
        <f>E16*F16</f>
        <v>0</v>
      </c>
      <c r="H16" s="93"/>
      <c r="I16" s="94"/>
      <c r="J16" s="94"/>
      <c r="K16" s="95"/>
      <c r="L16" s="94"/>
      <c r="M16" s="96"/>
      <c r="O16" s="88"/>
      <c r="P16" s="88"/>
      <c r="Q16" s="88"/>
      <c r="R16" s="163"/>
      <c r="S16" s="163"/>
    </row>
    <row r="17" spans="2:19" ht="21" customHeight="1">
      <c r="B17" s="496" t="s">
        <v>134</v>
      </c>
      <c r="C17" s="497"/>
      <c r="D17" s="497"/>
      <c r="E17" s="497"/>
      <c r="F17" s="497"/>
      <c r="G17" s="497"/>
      <c r="H17" s="497"/>
      <c r="I17" s="497"/>
      <c r="J17" s="497"/>
      <c r="K17" s="497"/>
      <c r="L17" s="497"/>
      <c r="M17" s="498"/>
      <c r="O17" s="88"/>
      <c r="P17" s="88"/>
      <c r="Q17" s="88"/>
      <c r="R17" s="163"/>
      <c r="S17" s="163"/>
    </row>
    <row r="18" spans="2:19">
      <c r="B18" s="97" t="s">
        <v>135</v>
      </c>
      <c r="C18" s="424" t="s">
        <v>132</v>
      </c>
      <c r="D18" s="76">
        <f>Enseignements!H4</f>
        <v>402</v>
      </c>
      <c r="E18" s="425">
        <v>7500</v>
      </c>
      <c r="F18" s="76">
        <v>22</v>
      </c>
      <c r="G18" s="92">
        <f>E18*F18</f>
        <v>165000</v>
      </c>
      <c r="H18" s="92">
        <f t="shared" ref="H18:H27" si="0">IF(D18=0,0,E18/D18)</f>
        <v>18.656716417910449</v>
      </c>
      <c r="I18" s="426">
        <v>0.05</v>
      </c>
      <c r="J18" s="92">
        <f>G18*(1-I18)</f>
        <v>156750</v>
      </c>
      <c r="K18" s="92">
        <f t="shared" ref="K18:K27" si="1">IF((D18*F18)=0,0,J18/(D18*F18))</f>
        <v>17.723880597014926</v>
      </c>
      <c r="L18" s="479"/>
      <c r="M18" s="480"/>
      <c r="O18" s="163"/>
      <c r="P18" s="163"/>
      <c r="Q18" s="163"/>
      <c r="R18" s="163"/>
      <c r="S18" s="163"/>
    </row>
    <row r="19" spans="2:19">
      <c r="B19" s="97" t="s">
        <v>136</v>
      </c>
      <c r="C19" s="98"/>
      <c r="D19" s="76"/>
      <c r="E19" s="90"/>
      <c r="F19" s="76"/>
      <c r="G19" s="92">
        <f t="shared" ref="G19:G27" si="2">E19*F19</f>
        <v>0</v>
      </c>
      <c r="H19" s="92">
        <f t="shared" si="0"/>
        <v>0</v>
      </c>
      <c r="I19" s="99"/>
      <c r="J19" s="92">
        <f t="shared" ref="J19:J27" si="3">G19*(1-I19)</f>
        <v>0</v>
      </c>
      <c r="K19" s="92">
        <f t="shared" si="1"/>
        <v>0</v>
      </c>
      <c r="L19" s="479"/>
      <c r="M19" s="480"/>
      <c r="O19" s="163"/>
      <c r="P19" s="163"/>
      <c r="Q19" s="163"/>
      <c r="R19" s="163"/>
      <c r="S19" s="163"/>
    </row>
    <row r="20" spans="2:19">
      <c r="B20" s="97" t="s">
        <v>137</v>
      </c>
      <c r="C20" s="98"/>
      <c r="D20" s="76"/>
      <c r="E20" s="90"/>
      <c r="F20" s="76"/>
      <c r="G20" s="92">
        <f t="shared" si="2"/>
        <v>0</v>
      </c>
      <c r="H20" s="92">
        <f t="shared" si="0"/>
        <v>0</v>
      </c>
      <c r="I20" s="99"/>
      <c r="J20" s="92">
        <f t="shared" si="3"/>
        <v>0</v>
      </c>
      <c r="K20" s="92">
        <f t="shared" si="1"/>
        <v>0</v>
      </c>
      <c r="L20" s="479"/>
      <c r="M20" s="480"/>
      <c r="O20" s="163"/>
      <c r="P20" s="163"/>
      <c r="Q20" s="163"/>
      <c r="R20" s="163"/>
      <c r="S20" s="163"/>
    </row>
    <row r="21" spans="2:19">
      <c r="B21" s="97" t="s">
        <v>138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479"/>
      <c r="M21" s="480"/>
      <c r="O21" s="163"/>
      <c r="P21" s="163"/>
      <c r="Q21" s="163"/>
      <c r="R21" s="163"/>
      <c r="S21" s="163"/>
    </row>
    <row r="22" spans="2:19">
      <c r="B22" s="97" t="s">
        <v>139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479"/>
      <c r="M22" s="480"/>
      <c r="O22" s="163"/>
      <c r="P22" s="163"/>
      <c r="Q22" s="163"/>
      <c r="R22" s="163"/>
      <c r="S22" s="163"/>
    </row>
    <row r="23" spans="2:19">
      <c r="B23" s="97" t="s">
        <v>140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479"/>
      <c r="M23" s="480"/>
      <c r="O23" s="163"/>
      <c r="P23" s="163"/>
      <c r="Q23" s="163"/>
      <c r="R23" s="163"/>
      <c r="S23" s="163"/>
    </row>
    <row r="24" spans="2:19">
      <c r="B24" s="97" t="s">
        <v>141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479"/>
      <c r="M24" s="480"/>
      <c r="O24" s="163"/>
      <c r="P24" s="163"/>
      <c r="Q24" s="163"/>
      <c r="R24" s="163"/>
      <c r="S24" s="163"/>
    </row>
    <row r="25" spans="2:19">
      <c r="B25" s="97" t="s">
        <v>142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479"/>
      <c r="M25" s="480"/>
      <c r="O25" s="163"/>
      <c r="P25" s="163"/>
      <c r="Q25" s="163"/>
      <c r="R25" s="163"/>
      <c r="S25" s="163"/>
    </row>
    <row r="26" spans="2:19">
      <c r="B26" s="97" t="s">
        <v>143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479"/>
      <c r="M26" s="480"/>
      <c r="O26" s="163"/>
      <c r="P26" s="163"/>
      <c r="Q26" s="163"/>
      <c r="R26" s="163"/>
      <c r="S26" s="163"/>
    </row>
    <row r="27" spans="2:19">
      <c r="B27" s="100" t="s">
        <v>144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479"/>
      <c r="M27" s="480"/>
      <c r="O27" s="163"/>
      <c r="P27" s="163"/>
      <c r="Q27" s="163"/>
      <c r="R27" s="163"/>
      <c r="S27" s="163"/>
    </row>
    <row r="28" spans="2:19" ht="14.45" thickBot="1">
      <c r="B28" s="481" t="s">
        <v>145</v>
      </c>
      <c r="C28" s="482"/>
      <c r="D28" s="103"/>
      <c r="E28" s="104"/>
      <c r="F28" s="103">
        <f>SUM(F18:F27)</f>
        <v>22</v>
      </c>
      <c r="G28" s="105">
        <f>SUM(G18:G27)</f>
        <v>165000</v>
      </c>
      <c r="H28" s="106">
        <f>IF(SUMPRODUCT(F18:F27,D18:D27)=0,0,G28/SUMPRODUCT(F18:F27,D18:D27))</f>
        <v>18.656716417910449</v>
      </c>
      <c r="I28" s="103"/>
      <c r="J28" s="105">
        <f>SUM(J18:J27)</f>
        <v>156750</v>
      </c>
      <c r="K28" s="105">
        <f>IF(D28=0,0,IF(SUMPRODUCT(F18:F27,D18:D27)=0,0,J28/SUMPRODUCT(F18:F27,D18:D27)))</f>
        <v>0</v>
      </c>
      <c r="L28" s="483"/>
      <c r="M28" s="484"/>
    </row>
    <row r="29" spans="2:19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9" ht="14.45" thickBot="1"/>
    <row r="31" spans="2:19" ht="18.600000000000001" customHeight="1" thickBot="1">
      <c r="B31" s="485" t="s">
        <v>146</v>
      </c>
      <c r="C31" s="486"/>
      <c r="D31" s="486"/>
      <c r="E31" s="486"/>
      <c r="F31" s="486"/>
      <c r="G31" s="486"/>
      <c r="H31" s="486"/>
      <c r="I31" s="486"/>
      <c r="J31" s="486"/>
      <c r="K31" s="486"/>
      <c r="L31" s="486"/>
      <c r="M31" s="487"/>
    </row>
    <row r="32" spans="2:19" ht="14.45" thickBot="1"/>
    <row r="33" spans="2:13" ht="21" customHeight="1">
      <c r="B33" s="474" t="s">
        <v>147</v>
      </c>
      <c r="C33" s="475"/>
      <c r="D33" s="476"/>
      <c r="E33" s="108" t="s">
        <v>148</v>
      </c>
      <c r="F33" s="108" t="s">
        <v>149</v>
      </c>
      <c r="G33" s="477" t="s">
        <v>150</v>
      </c>
      <c r="H33" s="475"/>
      <c r="I33" s="475"/>
      <c r="J33" s="475"/>
      <c r="K33" s="478"/>
    </row>
    <row r="34" spans="2:13">
      <c r="B34" s="472"/>
      <c r="C34" s="473"/>
      <c r="D34" s="473"/>
      <c r="E34" s="98"/>
      <c r="F34" s="90"/>
      <c r="G34" s="465"/>
      <c r="H34" s="465"/>
      <c r="I34" s="465"/>
      <c r="J34" s="465"/>
      <c r="K34" s="466"/>
    </row>
    <row r="35" spans="2:13">
      <c r="B35" s="472"/>
      <c r="C35" s="473"/>
      <c r="D35" s="473"/>
      <c r="E35" s="98"/>
      <c r="F35" s="90"/>
      <c r="G35" s="465"/>
      <c r="H35" s="465"/>
      <c r="I35" s="465"/>
      <c r="J35" s="465"/>
      <c r="K35" s="466"/>
    </row>
    <row r="36" spans="2:13">
      <c r="B36" s="472"/>
      <c r="C36" s="473"/>
      <c r="D36" s="473"/>
      <c r="E36" s="98"/>
      <c r="F36" s="90"/>
      <c r="G36" s="465"/>
      <c r="H36" s="465"/>
      <c r="I36" s="465"/>
      <c r="J36" s="465"/>
      <c r="K36" s="466"/>
    </row>
    <row r="37" spans="2:13">
      <c r="B37" s="463"/>
      <c r="C37" s="464"/>
      <c r="D37" s="464"/>
      <c r="E37" s="98"/>
      <c r="F37" s="90"/>
      <c r="G37" s="465"/>
      <c r="H37" s="465"/>
      <c r="I37" s="465"/>
      <c r="J37" s="465"/>
      <c r="K37" s="466"/>
    </row>
    <row r="38" spans="2:13">
      <c r="B38" s="463"/>
      <c r="C38" s="464"/>
      <c r="D38" s="464"/>
      <c r="E38" s="98"/>
      <c r="F38" s="90"/>
      <c r="G38" s="465"/>
      <c r="H38" s="465"/>
      <c r="I38" s="465"/>
      <c r="J38" s="465"/>
      <c r="K38" s="466"/>
    </row>
    <row r="39" spans="2:13" ht="14.45" thickBot="1">
      <c r="B39" s="467" t="s">
        <v>151</v>
      </c>
      <c r="C39" s="468"/>
      <c r="D39" s="468"/>
      <c r="E39" s="468"/>
      <c r="F39" s="109">
        <f>SUM(F34:F38)</f>
        <v>0</v>
      </c>
      <c r="G39" s="469"/>
      <c r="H39" s="470"/>
      <c r="I39" s="470"/>
      <c r="J39" s="470"/>
      <c r="K39" s="471"/>
      <c r="L39" s="81"/>
      <c r="M39" s="81"/>
    </row>
    <row r="40" spans="2:13">
      <c r="F40" s="70"/>
    </row>
    <row r="41" spans="2:13" ht="32.450000000000003" customHeight="1"/>
  </sheetData>
  <sheetProtection algorithmName="SHA-512" hashValue="Jp+Rri96bPinOiKuIGdoOxBbRLoAjGZGbrAq73YeOeuWmjIK/WFtQOPBGfupP1lifej3em89u5VRkHBA7h9ffQ==" saltValue="VTOnpe6lQTxDv3j5FJFUVg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7" priority="8" operator="lessThan">
      <formula>0</formula>
    </cfRule>
    <cfRule type="cellIs" dxfId="6" priority="9" operator="greaterThan">
      <formula>0</formula>
    </cfRule>
  </conditionalFormatting>
  <conditionalFormatting sqref="E9">
    <cfRule type="cellIs" dxfId="5" priority="6" operator="lessThan">
      <formula>0</formula>
    </cfRule>
    <cfRule type="cellIs" dxfId="4" priority="7" operator="greaterThan">
      <formula>0</formula>
    </cfRule>
  </conditionalFormatting>
  <conditionalFormatting sqref="D18:D27">
    <cfRule type="expression" dxfId="3" priority="3" stopIfTrue="1">
      <formula>AND(C18=$O$15,D18&lt;$P$15)</formula>
    </cfRule>
    <cfRule type="expression" dxfId="2" priority="4" stopIfTrue="1">
      <formula>AND(C18=$O$14,D18&gt;$Q$14)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90" zoomScaleNormal="90" zoomScaleSheetLayoutView="70" workbookViewId="0">
      <pane ySplit="9" topLeftCell="A60" activePane="bottomLeft" state="frozen"/>
      <selection pane="bottomLeft" activeCell="G45" sqref="G45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>
      <c r="A2" s="73"/>
      <c r="B2" s="504" t="s">
        <v>152</v>
      </c>
      <c r="C2" s="505"/>
      <c r="D2" s="505"/>
      <c r="E2" s="505"/>
      <c r="F2" s="505"/>
      <c r="G2" s="505"/>
      <c r="H2" s="505"/>
      <c r="I2" s="505"/>
      <c r="J2" s="505"/>
      <c r="K2" s="495"/>
      <c r="L2" s="504" t="s">
        <v>153</v>
      </c>
      <c r="M2" s="505"/>
      <c r="N2" s="505"/>
      <c r="O2" s="505"/>
      <c r="P2" s="495"/>
      <c r="Q2" s="69"/>
      <c r="R2" s="69"/>
      <c r="S2" s="73"/>
      <c r="T2" s="73"/>
      <c r="U2" s="73"/>
      <c r="V2" s="73"/>
    </row>
    <row r="3" spans="1:22" ht="6.75" customHeight="1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>
      <c r="A5" s="73"/>
      <c r="B5" s="73"/>
      <c r="C5" s="114" t="s">
        <v>101</v>
      </c>
      <c r="D5" s="512" t="str">
        <f>'Recettes et simulat'!D4</f>
        <v>Université Lumière Lyon 2</v>
      </c>
      <c r="E5" s="514"/>
      <c r="F5" s="73"/>
      <c r="G5" s="114" t="s">
        <v>103</v>
      </c>
      <c r="H5" s="512" t="str">
        <f>'Recettes et simulat'!H4</f>
        <v>Master</v>
      </c>
      <c r="I5" s="513"/>
      <c r="J5" s="513"/>
      <c r="K5" s="514"/>
      <c r="L5" s="110"/>
      <c r="M5" s="110"/>
      <c r="N5" s="110"/>
      <c r="O5" s="110"/>
      <c r="P5" s="110"/>
      <c r="Q5" s="69"/>
      <c r="R5" s="69"/>
      <c r="S5" s="73"/>
      <c r="T5" s="73"/>
      <c r="U5" s="77" t="s">
        <v>112</v>
      </c>
      <c r="V5" s="73"/>
    </row>
    <row r="6" spans="1:22" ht="22.15" customHeight="1">
      <c r="A6" s="73"/>
      <c r="B6" s="73"/>
      <c r="C6" s="113" t="s">
        <v>105</v>
      </c>
      <c r="D6" s="512" t="str">
        <f>'Recettes et simulat'!D5</f>
        <v>RNCP 34221</v>
      </c>
      <c r="E6" s="514"/>
      <c r="F6" s="73"/>
      <c r="G6" s="114" t="s">
        <v>154</v>
      </c>
      <c r="H6" s="512" t="str">
        <f>'Recettes et simulat'!H5</f>
        <v>M2 Transport et Logistique Industrielle et Commerciale</v>
      </c>
      <c r="I6" s="513"/>
      <c r="J6" s="513"/>
      <c r="K6" s="514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>
      <c r="A7" s="73"/>
      <c r="B7" s="73"/>
      <c r="C7" s="115" t="s">
        <v>109</v>
      </c>
      <c r="D7" s="116"/>
      <c r="E7" s="117">
        <f>'Recettes et simulat'!E6</f>
        <v>22</v>
      </c>
      <c r="F7" s="73"/>
      <c r="G7" s="114" t="s">
        <v>110</v>
      </c>
      <c r="H7" s="512" t="str">
        <f>'Recettes et simulat'!H6</f>
        <v>SEG - Sciences Economiques et de Gestion</v>
      </c>
      <c r="I7" s="513"/>
      <c r="J7" s="513"/>
      <c r="K7" s="514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>
      <c r="A8" s="73"/>
      <c r="B8" s="73"/>
      <c r="C8" s="115" t="s">
        <v>113</v>
      </c>
      <c r="D8" s="116"/>
      <c r="E8" s="117">
        <f>'Recettes et simulat'!E7</f>
        <v>22</v>
      </c>
      <c r="F8" s="73"/>
      <c r="G8" s="78" t="s">
        <v>114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>
      <c r="A11" s="73"/>
      <c r="B11" s="504" t="s">
        <v>155</v>
      </c>
      <c r="C11" s="505"/>
      <c r="D11" s="505"/>
      <c r="E11" s="505"/>
      <c r="F11" s="505"/>
      <c r="G11" s="505"/>
      <c r="H11" s="505"/>
      <c r="I11" s="505"/>
      <c r="J11" s="505"/>
      <c r="K11" s="495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>
      <c r="B13" s="132" t="s">
        <v>156</v>
      </c>
      <c r="C13" s="515" t="s">
        <v>157</v>
      </c>
      <c r="D13" s="516"/>
      <c r="E13" s="516"/>
      <c r="F13" s="517"/>
      <c r="G13" s="133" t="s">
        <v>158</v>
      </c>
      <c r="H13" s="134" t="s">
        <v>159</v>
      </c>
      <c r="I13" s="134" t="s">
        <v>160</v>
      </c>
      <c r="J13" s="135" t="s">
        <v>161</v>
      </c>
      <c r="K13" s="136" t="s">
        <v>162</v>
      </c>
      <c r="L13" s="137" t="s">
        <v>163</v>
      </c>
      <c r="M13" s="138" t="s">
        <v>164</v>
      </c>
      <c r="N13" s="138" t="s">
        <v>165</v>
      </c>
      <c r="O13" s="139" t="s">
        <v>166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>
      <c r="B14" s="143" t="s">
        <v>167</v>
      </c>
      <c r="C14" s="144"/>
      <c r="D14" s="145"/>
      <c r="E14" s="145"/>
      <c r="F14" s="145"/>
      <c r="G14" s="146">
        <f>G20+G27+G32</f>
        <v>652.5</v>
      </c>
      <c r="H14" s="147">
        <f>IF(G20+G27+G32=0,0,(I20+I27+I32)/(G20+G27+G32))</f>
        <v>154.27586206896552</v>
      </c>
      <c r="I14" s="148">
        <f>I20+I32+I27</f>
        <v>100665</v>
      </c>
      <c r="J14" s="149">
        <f>J20+J32+J27</f>
        <v>0</v>
      </c>
      <c r="K14" s="150">
        <f>K20+K32+K27</f>
        <v>100665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0.64220095693779899</v>
      </c>
      <c r="R14" s="153" t="s">
        <v>168</v>
      </c>
      <c r="S14" s="73"/>
      <c r="T14" s="69"/>
      <c r="U14" s="69"/>
      <c r="V14" s="73"/>
    </row>
    <row r="15" spans="1:22" s="73" customFormat="1" ht="16.899999999999999" customHeight="1" outlineLevel="1">
      <c r="B15" s="154" t="s">
        <v>169</v>
      </c>
      <c r="C15" s="155" t="s">
        <v>170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12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256.66666666666669</v>
      </c>
      <c r="S15" s="88"/>
      <c r="T15" s="163"/>
      <c r="U15" s="88"/>
      <c r="V15" s="121"/>
    </row>
    <row r="16" spans="1:22" s="121" customFormat="1" ht="16.899999999999999" customHeight="1" outlineLevel="1">
      <c r="B16" s="164" t="s">
        <v>171</v>
      </c>
      <c r="C16" s="509" t="s">
        <v>23</v>
      </c>
      <c r="D16" s="510"/>
      <c r="E16" s="510"/>
      <c r="F16" s="511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236.5</v>
      </c>
      <c r="H16" s="166">
        <v>218</v>
      </c>
      <c r="I16" s="167">
        <f>H16*G16</f>
        <v>51557</v>
      </c>
      <c r="J16" s="167">
        <f>I16-K16</f>
        <v>0</v>
      </c>
      <c r="K16" s="168">
        <f>IF($E$7=0,0,I16/$E$7*$E$8)</f>
        <v>51557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0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236.5</v>
      </c>
      <c r="T16" s="171"/>
      <c r="U16" s="171"/>
      <c r="V16" s="172"/>
    </row>
    <row r="17" spans="2:23" s="121" customFormat="1" ht="16.899999999999999" customHeight="1" outlineLevel="1">
      <c r="B17" s="164" t="s">
        <v>172</v>
      </c>
      <c r="C17" s="509" t="s">
        <v>24</v>
      </c>
      <c r="D17" s="510"/>
      <c r="E17" s="510"/>
      <c r="F17" s="511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</row>
    <row r="18" spans="2:23" s="121" customFormat="1" ht="16.899999999999999" customHeight="1" outlineLevel="1">
      <c r="B18" s="164" t="s">
        <v>173</v>
      </c>
      <c r="C18" s="509" t="s">
        <v>174</v>
      </c>
      <c r="D18" s="510"/>
      <c r="E18" s="510"/>
      <c r="F18" s="511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198</v>
      </c>
      <c r="H18" s="166">
        <v>56</v>
      </c>
      <c r="I18" s="173">
        <f>H18*G18</f>
        <v>11088</v>
      </c>
      <c r="J18" s="167">
        <f t="shared" si="1"/>
        <v>0</v>
      </c>
      <c r="K18" s="168">
        <f t="shared" si="2"/>
        <v>11088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0</v>
      </c>
      <c r="R18" s="171">
        <f>G18</f>
        <v>198</v>
      </c>
      <c r="S18" s="413">
        <f>R18*H18</f>
        <v>11088</v>
      </c>
      <c r="T18" s="171"/>
      <c r="V18" s="172"/>
    </row>
    <row r="19" spans="2:23" s="121" customFormat="1" ht="18.600000000000001" customHeight="1" outlineLevel="1">
      <c r="B19" s="164" t="s">
        <v>175</v>
      </c>
      <c r="C19" s="509" t="s">
        <v>176</v>
      </c>
      <c r="D19" s="510"/>
      <c r="E19" s="510"/>
      <c r="F19" s="511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5"/>
      <c r="I19" s="173">
        <f t="shared" ref="I19" si="3">H19*G19</f>
        <v>0</v>
      </c>
      <c r="J19" s="167">
        <f t="shared" si="1"/>
        <v>0</v>
      </c>
      <c r="K19" s="168">
        <f t="shared" si="2"/>
        <v>0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0</v>
      </c>
      <c r="R19" s="171"/>
      <c r="S19" s="171"/>
      <c r="T19" s="171"/>
      <c r="U19" s="171"/>
      <c r="V19" s="172"/>
    </row>
    <row r="20" spans="2:23" s="121" customFormat="1" ht="22.15" customHeight="1" outlineLevel="1" thickBot="1">
      <c r="B20" s="506" t="s">
        <v>177</v>
      </c>
      <c r="C20" s="507"/>
      <c r="D20" s="507"/>
      <c r="E20" s="507"/>
      <c r="F20" s="508"/>
      <c r="G20" s="177">
        <f>SUM(G16:G19)</f>
        <v>434.5</v>
      </c>
      <c r="H20" s="178">
        <f>IF(G20=0,0,I20/G20)</f>
        <v>144.17721518987341</v>
      </c>
      <c r="I20" s="179">
        <f>SUM(I16:I19)</f>
        <v>62645</v>
      </c>
      <c r="J20" s="180">
        <f>SUM(J16:J19)</f>
        <v>0</v>
      </c>
      <c r="K20" s="181">
        <f>SUM(K16:K19)</f>
        <v>62645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0.39964912280701753</v>
      </c>
      <c r="R20" s="153" t="s">
        <v>168</v>
      </c>
      <c r="S20" s="73"/>
      <c r="T20" s="69"/>
      <c r="U20" s="69"/>
      <c r="V20" s="73"/>
    </row>
    <row r="21" spans="2:23" s="73" customFormat="1" ht="16.899999999999999" customHeight="1" outlineLevel="1">
      <c r="B21" s="154" t="s">
        <v>178</v>
      </c>
      <c r="C21" s="155" t="s">
        <v>179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>
      <c r="B22" s="164" t="s">
        <v>180</v>
      </c>
      <c r="C22" s="418" t="s">
        <v>181</v>
      </c>
      <c r="D22" s="420"/>
      <c r="E22" s="420"/>
      <c r="F22" s="421"/>
      <c r="G22" s="165">
        <f>SUMIF(Enseignements!$G$8:$G$89,Paramétrage!D15,Enseignements!Y$8:Y$89)</f>
        <v>0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5">IF($E$7=0,0,I22/$E$7*$E$8)</f>
        <v>0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0</v>
      </c>
      <c r="S22" s="413">
        <f>R22*H22</f>
        <v>0</v>
      </c>
      <c r="T22" s="196"/>
      <c r="V22" s="171"/>
      <c r="W22" s="88"/>
    </row>
    <row r="23" spans="2:23" s="121" customFormat="1" ht="16.899999999999999" customHeight="1" outlineLevel="1">
      <c r="B23" s="164" t="s">
        <v>182</v>
      </c>
      <c r="C23" s="509" t="s">
        <v>183</v>
      </c>
      <c r="D23" s="510"/>
      <c r="E23" s="510"/>
      <c r="F23" s="511"/>
      <c r="G23" s="165">
        <f>SUMIF(Enseignements!$G$8:$G$89,Paramétrage!$D$18,Enseignements!Y$8:Y$89)</f>
        <v>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>SUMIF(Enseignements!$G$8:$G$89,Paramétrage!D16,Enseignements!W$8:W$89)</f>
        <v>15</v>
      </c>
      <c r="S23" s="413">
        <f t="shared" ref="S23:S25" si="6">R23*H23</f>
        <v>0</v>
      </c>
      <c r="T23" s="171"/>
      <c r="V23" s="171"/>
      <c r="W23" s="88"/>
    </row>
    <row r="24" spans="2:23" s="121" customFormat="1" ht="16.899999999999999" customHeight="1" outlineLevel="1">
      <c r="B24" s="164" t="s">
        <v>184</v>
      </c>
      <c r="C24" s="509" t="s">
        <v>185</v>
      </c>
      <c r="D24" s="510"/>
      <c r="E24" s="510"/>
      <c r="F24" s="511"/>
      <c r="G24" s="165">
        <f>SUMIF(Enseignements!$G$8:$G$89,Paramétrage!$D$9,Enseignements!Y$8:Y$89)</f>
        <v>0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>SUMIF(Enseignements!$G$8:$G$89,Paramétrage!D17,Enseignements!W$8:W$89)</f>
        <v>0</v>
      </c>
      <c r="S24" s="413">
        <f t="shared" si="6"/>
        <v>0</v>
      </c>
      <c r="T24" s="171"/>
      <c r="V24" s="171"/>
      <c r="W24" s="88"/>
    </row>
    <row r="25" spans="2:23" s="121" customFormat="1" ht="16.899999999999999" customHeight="1" outlineLevel="1">
      <c r="B25" s="164" t="s">
        <v>186</v>
      </c>
      <c r="C25" s="509" t="s">
        <v>187</v>
      </c>
      <c r="D25" s="510"/>
      <c r="E25" s="510"/>
      <c r="F25" s="511"/>
      <c r="G25" s="165">
        <f>SUMIF(Enseignements!$G$8:$G$89,Paramétrage!$D$12,Enseignements!Y$8:Y$89)</f>
        <v>190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167.97894736842105</v>
      </c>
      <c r="I25" s="167">
        <f>H25*G25</f>
        <v>31916</v>
      </c>
      <c r="J25" s="167">
        <f>I25-K25</f>
        <v>0</v>
      </c>
      <c r="K25" s="168">
        <f>I25</f>
        <v>31916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13">
        <f t="shared" si="6"/>
        <v>0</v>
      </c>
      <c r="T25" s="171"/>
      <c r="V25" s="171"/>
      <c r="W25" s="88"/>
    </row>
    <row r="26" spans="2:23" s="121" customFormat="1" ht="16.899999999999999" customHeight="1" outlineLevel="1">
      <c r="B26" s="164" t="s">
        <v>188</v>
      </c>
      <c r="C26" s="509" t="s">
        <v>189</v>
      </c>
      <c r="D26" s="510"/>
      <c r="E26" s="510"/>
      <c r="F26" s="511"/>
      <c r="G26" s="165">
        <f>SUMIF(Enseignements!$G$8:$G$89,Paramétrage!$D$22,Enseignements!Y$8:Y$89)+SUMIF(Enseignements!$G$8:$G$89,Paramétrage!$D$25,Enseignements!Y$8:Y$89)</f>
        <v>4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218</v>
      </c>
      <c r="I26" s="167">
        <f>H26*G26</f>
        <v>872</v>
      </c>
      <c r="J26" s="167">
        <f>I26-K26</f>
        <v>0</v>
      </c>
      <c r="K26" s="168">
        <f t="shared" ref="K26" si="7">IF($E$7=0,0,I26/$E$7*$E$8)</f>
        <v>871.99999999999989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>SUMIF(Enseignements!$G$8:$G$89,Paramétrage!D19,Enseignements!W$8:W$89)</f>
        <v>0</v>
      </c>
      <c r="S26" s="413">
        <f>R26*H26</f>
        <v>0</v>
      </c>
      <c r="T26" s="171"/>
      <c r="V26" s="171"/>
      <c r="W26" s="88"/>
    </row>
    <row r="27" spans="2:23" s="121" customFormat="1" ht="21.6" customHeight="1" outlineLevel="1" thickBot="1">
      <c r="B27" s="506" t="s">
        <v>190</v>
      </c>
      <c r="C27" s="507"/>
      <c r="D27" s="507"/>
      <c r="E27" s="507"/>
      <c r="F27" s="508"/>
      <c r="G27" s="177">
        <f>SUM(G22:G26)</f>
        <v>194</v>
      </c>
      <c r="H27" s="178">
        <f>IF(G27=0,0,I27/G27)</f>
        <v>169.01030927835052</v>
      </c>
      <c r="I27" s="178">
        <f>SUM(I22:I26)</f>
        <v>32788</v>
      </c>
      <c r="J27" s="178">
        <f t="shared" ref="J27:K27" si="8">SUM(J22:J26)</f>
        <v>0</v>
      </c>
      <c r="K27" s="181">
        <f t="shared" si="8"/>
        <v>32788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0.20917384370015948</v>
      </c>
      <c r="R27" s="153" t="s">
        <v>168</v>
      </c>
      <c r="S27" s="73"/>
      <c r="T27" s="120"/>
    </row>
    <row r="28" spans="2:23" s="121" customFormat="1" ht="16.899999999999999" customHeight="1" outlineLevel="1">
      <c r="B28" s="154" t="s">
        <v>191</v>
      </c>
      <c r="C28" s="155" t="s">
        <v>192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6.899999999999999" customHeight="1" outlineLevel="1">
      <c r="B29" s="164" t="s">
        <v>193</v>
      </c>
      <c r="C29" s="509" t="s">
        <v>194</v>
      </c>
      <c r="D29" s="510"/>
      <c r="E29" s="510"/>
      <c r="F29" s="511"/>
      <c r="G29" s="79">
        <v>24</v>
      </c>
      <c r="H29" s="166">
        <f>+H16</f>
        <v>218</v>
      </c>
      <c r="I29" s="199">
        <f>H29*G29</f>
        <v>5232</v>
      </c>
      <c r="J29" s="167">
        <f t="shared" ref="J29:J31" si="12">I29-K29</f>
        <v>0</v>
      </c>
      <c r="K29" s="168">
        <f t="shared" ref="K29:K31" si="13">IF($E$7=0,0,I29/$E$7*$E$8)</f>
        <v>5232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/>
      <c r="S29" s="171"/>
      <c r="T29" s="171"/>
      <c r="U29" s="171"/>
      <c r="V29" s="172"/>
      <c r="W29" s="201"/>
    </row>
    <row r="30" spans="2:23" s="121" customFormat="1" ht="16.899999999999999" customHeight="1" outlineLevel="1">
      <c r="B30" s="164" t="s">
        <v>195</v>
      </c>
      <c r="C30" s="509" t="s">
        <v>196</v>
      </c>
      <c r="D30" s="510"/>
      <c r="E30" s="510"/>
      <c r="F30" s="511"/>
      <c r="G30" s="79"/>
      <c r="H30" s="166">
        <f>$H$20</f>
        <v>144.17721518987341</v>
      </c>
      <c r="I30" s="199">
        <f>H30*G30</f>
        <v>0</v>
      </c>
      <c r="J30" s="167">
        <f t="shared" si="12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6.899999999999999" customHeight="1" outlineLevel="1">
      <c r="B31" s="164" t="s">
        <v>197</v>
      </c>
      <c r="C31" s="419" t="s">
        <v>26</v>
      </c>
      <c r="D31" s="420"/>
      <c r="E31" s="420"/>
      <c r="F31" s="421"/>
      <c r="G31" s="202"/>
      <c r="H31" s="166">
        <f>$H$20</f>
        <v>144.17721518987341</v>
      </c>
      <c r="I31" s="203">
        <f>H31*G31</f>
        <v>0</v>
      </c>
      <c r="J31" s="167">
        <f t="shared" si="12"/>
        <v>0</v>
      </c>
      <c r="K31" s="168">
        <f t="shared" si="13"/>
        <v>0</v>
      </c>
      <c r="L31" s="204"/>
      <c r="M31" s="79"/>
      <c r="N31" s="79"/>
      <c r="O31" s="79"/>
      <c r="P31" s="174">
        <f>SUM(L31:O31)</f>
        <v>0</v>
      </c>
      <c r="Q31" s="171">
        <f t="shared" si="14"/>
        <v>0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>
      <c r="B32" s="506" t="s">
        <v>198</v>
      </c>
      <c r="C32" s="507"/>
      <c r="D32" s="507"/>
      <c r="E32" s="507"/>
      <c r="F32" s="508"/>
      <c r="G32" s="177">
        <f>SUM(G29:G31)</f>
        <v>24</v>
      </c>
      <c r="H32" s="178">
        <f>IF(G32=0,0,I32/G32)</f>
        <v>218</v>
      </c>
      <c r="I32" s="178">
        <f>SUM(I29:I31)</f>
        <v>5232</v>
      </c>
      <c r="J32" s="178">
        <f>SUM(J29:J31)</f>
        <v>0</v>
      </c>
      <c r="K32" s="390">
        <f>SUM(K29:K31)</f>
        <v>5232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3.3377990430622007E-2</v>
      </c>
      <c r="R32" s="153" t="s">
        <v>168</v>
      </c>
      <c r="S32" s="73"/>
      <c r="T32" s="120"/>
      <c r="U32" s="70"/>
    </row>
    <row r="33" spans="2:22" s="121" customFormat="1" ht="21" hidden="1" customHeight="1" outlineLevel="1">
      <c r="B33" s="208"/>
      <c r="C33" s="209"/>
      <c r="D33" s="210"/>
      <c r="E33" s="211"/>
      <c r="F33" s="211"/>
      <c r="G33" s="211"/>
      <c r="H33" s="212" t="s">
        <v>199</v>
      </c>
      <c r="I33" s="213">
        <f>+G20+G27+G32</f>
        <v>652.5</v>
      </c>
      <c r="J33" s="213">
        <f>SUM(Q16:Q19)+SUM(Q22:Q26)+SUM(Q29:Q31)</f>
        <v>0</v>
      </c>
      <c r="K33" s="214">
        <f>I33-J33</f>
        <v>652.5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>
      <c r="B34" s="220"/>
      <c r="C34" s="221"/>
      <c r="D34" s="222"/>
      <c r="E34" s="223"/>
      <c r="F34" s="223"/>
      <c r="G34" s="223"/>
      <c r="H34" s="224" t="s">
        <v>200</v>
      </c>
      <c r="I34" s="225">
        <f>IF($E$7=0,0,(I32+I20+I27)/$E$7)</f>
        <v>4575.681818181818</v>
      </c>
      <c r="J34" s="226">
        <f>IF($E$7-$E$8=0,0,(J32+J20+J27)/($E$7-$E$8))</f>
        <v>0</v>
      </c>
      <c r="K34" s="227">
        <f>IF($E$8=0,0,(K32+K20+K27)/$E$8)</f>
        <v>4575.681818181818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>
      <c r="B35" s="228" t="s">
        <v>201</v>
      </c>
      <c r="C35" s="229"/>
      <c r="D35" s="230"/>
      <c r="E35" s="230"/>
      <c r="F35" s="230"/>
      <c r="G35" s="230"/>
      <c r="H35" s="231"/>
      <c r="I35" s="232">
        <f t="shared" ref="I35:P35" si="17">SUM(I36:I44)</f>
        <v>6900</v>
      </c>
      <c r="J35" s="233">
        <f t="shared" si="17"/>
        <v>0</v>
      </c>
      <c r="K35" s="234">
        <f t="shared" si="17"/>
        <v>6900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4.4019138755980861E-2</v>
      </c>
      <c r="R35" s="153" t="s">
        <v>168</v>
      </c>
      <c r="U35" s="121"/>
      <c r="V35" s="121"/>
    </row>
    <row r="36" spans="2:22" s="121" customFormat="1" ht="16.899999999999999" customHeight="1" outlineLevel="1">
      <c r="B36" s="236" t="s">
        <v>202</v>
      </c>
      <c r="C36" s="237" t="s">
        <v>203</v>
      </c>
      <c r="D36" s="238"/>
      <c r="E36" s="238"/>
      <c r="F36" s="238"/>
      <c r="G36" s="238"/>
      <c r="H36" s="238"/>
      <c r="I36" s="239">
        <v>500</v>
      </c>
      <c r="J36" s="240">
        <f>I36-K36</f>
        <v>0</v>
      </c>
      <c r="K36" s="241">
        <f>IF($E$7=0,0,I36/$E$7*$E$8)</f>
        <v>500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>
      <c r="B37" s="97" t="s">
        <v>204</v>
      </c>
      <c r="C37" s="248" t="s">
        <v>205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>
      <c r="B38" s="97" t="s">
        <v>206</v>
      </c>
      <c r="C38" s="248" t="s">
        <v>207</v>
      </c>
      <c r="D38" s="249"/>
      <c r="E38" s="249"/>
      <c r="F38" s="249"/>
      <c r="G38" s="249"/>
      <c r="H38" s="249"/>
      <c r="I38" s="250">
        <f>120*20</f>
        <v>2400</v>
      </c>
      <c r="J38" s="166">
        <f>I38-K38</f>
        <v>0</v>
      </c>
      <c r="K38" s="251">
        <f t="shared" si="18"/>
        <v>2400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6.899999999999999" customHeight="1" outlineLevel="1">
      <c r="B39" s="97" t="s">
        <v>208</v>
      </c>
      <c r="C39" s="248" t="s">
        <v>209</v>
      </c>
      <c r="D39" s="249"/>
      <c r="E39" s="249"/>
      <c r="F39" s="249"/>
      <c r="G39" s="249"/>
      <c r="H39" s="249"/>
      <c r="I39" s="250"/>
      <c r="J39" s="166">
        <f>I39-K39</f>
        <v>0</v>
      </c>
      <c r="K39" s="251">
        <f t="shared" si="18"/>
        <v>0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6.899999999999999" customHeight="1" outlineLevel="1">
      <c r="B40" s="97" t="s">
        <v>210</v>
      </c>
      <c r="C40" s="248" t="s">
        <v>211</v>
      </c>
      <c r="D40" s="249"/>
      <c r="E40" s="249"/>
      <c r="F40" s="249"/>
      <c r="G40" s="249"/>
      <c r="H40" s="249"/>
      <c r="I40" s="250">
        <v>2000</v>
      </c>
      <c r="J40" s="166">
        <f>I40-K40</f>
        <v>0</v>
      </c>
      <c r="K40" s="251">
        <f t="shared" si="18"/>
        <v>2000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>
      <c r="B41" s="97" t="s">
        <v>212</v>
      </c>
      <c r="C41" s="248" t="s">
        <v>213</v>
      </c>
      <c r="D41" s="249"/>
      <c r="E41" s="249"/>
      <c r="F41" s="249"/>
      <c r="G41" s="249"/>
      <c r="H41" s="249"/>
      <c r="I41" s="250"/>
      <c r="J41" s="166">
        <f t="shared" ref="J41:J44" si="20">I41-K41</f>
        <v>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>
      <c r="B42" s="97" t="s">
        <v>214</v>
      </c>
      <c r="C42" s="248" t="s">
        <v>215</v>
      </c>
      <c r="D42" s="249"/>
      <c r="E42" s="249"/>
      <c r="F42" s="249"/>
      <c r="G42" s="249"/>
      <c r="H42" s="249"/>
      <c r="I42" s="250">
        <v>2000</v>
      </c>
      <c r="J42" s="166">
        <f t="shared" si="20"/>
        <v>0</v>
      </c>
      <c r="K42" s="251">
        <f>I42</f>
        <v>2000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6.899999999999999" customHeight="1" outlineLevel="1">
      <c r="B43" s="97" t="s">
        <v>216</v>
      </c>
      <c r="C43" s="248" t="s">
        <v>217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6.899999999999999" customHeight="1" outlineLevel="1" thickBot="1">
      <c r="B44" s="253" t="s">
        <v>218</v>
      </c>
      <c r="C44" s="254" t="s">
        <v>219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" customHeight="1" outlineLevel="1" thickBot="1">
      <c r="B45" s="264"/>
      <c r="C45" s="265"/>
      <c r="E45" s="266"/>
      <c r="F45" s="266"/>
      <c r="G45" s="266"/>
      <c r="H45" s="74" t="s">
        <v>220</v>
      </c>
      <c r="I45" s="267">
        <f>IF(E7=0,0,I35/$E$7)</f>
        <v>313.63636363636363</v>
      </c>
      <c r="J45" s="267">
        <f>IF(E7-E8=0,0,J35/($E$7-$E$8))</f>
        <v>0</v>
      </c>
      <c r="K45" s="227">
        <f>IF($E$8=0,0,K35/$E$8)</f>
        <v>313.63636363636363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>
      <c r="B46" s="143" t="s">
        <v>221</v>
      </c>
      <c r="C46" s="144"/>
      <c r="D46" s="145"/>
      <c r="E46" s="145"/>
      <c r="F46" s="145"/>
      <c r="G46" s="145"/>
      <c r="H46" s="268"/>
      <c r="I46" s="269">
        <f t="shared" ref="I46:P46" si="21">I35+I32+I20+I27</f>
        <v>107565</v>
      </c>
      <c r="J46" s="269">
        <f t="shared" si="21"/>
        <v>0</v>
      </c>
      <c r="K46" s="270">
        <f t="shared" si="21"/>
        <v>107565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0.68622009569377995</v>
      </c>
      <c r="R46" s="153" t="s">
        <v>168</v>
      </c>
      <c r="S46" s="273"/>
      <c r="U46" s="70"/>
      <c r="V46" s="121"/>
    </row>
    <row r="47" spans="2:22" s="121" customFormat="1" ht="21" customHeight="1" thickBot="1">
      <c r="B47" s="274"/>
      <c r="C47" s="275"/>
      <c r="D47" s="275"/>
      <c r="E47" s="276"/>
      <c r="F47" s="276"/>
      <c r="G47" s="276"/>
      <c r="H47" s="277" t="s">
        <v>222</v>
      </c>
      <c r="I47" s="225">
        <f>IF(E7=0,0,I46/E7)</f>
        <v>4889.318181818182</v>
      </c>
      <c r="J47" s="267">
        <f>IF((E7-E8)=0,0,J46/(E7-E8))</f>
        <v>0</v>
      </c>
      <c r="K47" s="278">
        <f>IF(E8=0,0,K46/E8)</f>
        <v>4889.318181818182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5.9" thickBot="1">
      <c r="B49" s="281" t="s">
        <v>223</v>
      </c>
      <c r="C49" s="282" t="s">
        <v>224</v>
      </c>
      <c r="D49" s="283"/>
      <c r="E49" s="283"/>
      <c r="F49" s="283"/>
      <c r="G49" s="283"/>
      <c r="H49" s="135" t="s">
        <v>225</v>
      </c>
      <c r="I49" s="134" t="s">
        <v>160</v>
      </c>
      <c r="J49" s="135" t="s">
        <v>161</v>
      </c>
      <c r="K49" s="136" t="s">
        <v>226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>
      <c r="B50" s="143" t="s">
        <v>227</v>
      </c>
      <c r="C50" s="144"/>
      <c r="D50" s="145"/>
      <c r="E50" s="145"/>
      <c r="F50" s="145"/>
      <c r="G50" s="145"/>
      <c r="H50" s="373"/>
      <c r="I50" s="148">
        <f>SUM(I51:I54)</f>
        <v>26312</v>
      </c>
      <c r="J50" s="149">
        <f>SUM(J51:J54)</f>
        <v>0</v>
      </c>
      <c r="K50" s="150">
        <f>SUM(K51:K54)</f>
        <v>26312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6.899999999999999" customHeight="1" outlineLevel="2">
      <c r="B51" s="287" t="s">
        <v>228</v>
      </c>
      <c r="C51" s="288" t="s">
        <v>229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6864</v>
      </c>
      <c r="J51" s="167">
        <f t="shared" ref="J51:J54" si="23">I51-K51</f>
        <v>0</v>
      </c>
      <c r="K51" s="168">
        <f>I51</f>
        <v>6864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>
      <c r="B52" s="287" t="s">
        <v>230</v>
      </c>
      <c r="C52" s="294" t="s">
        <v>231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15576</v>
      </c>
      <c r="J52" s="167">
        <f>I52-K52</f>
        <v>0</v>
      </c>
      <c r="K52" s="168">
        <f>IF($E$7=0,0,I52/$E$7*$E$8)</f>
        <v>15576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>
      <c r="B53" s="287" t="s">
        <v>232</v>
      </c>
      <c r="C53" s="115" t="s">
        <v>233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1980</v>
      </c>
      <c r="J53" s="167">
        <f t="shared" si="23"/>
        <v>0</v>
      </c>
      <c r="K53" s="168">
        <f t="shared" ref="K53:K58" si="25">IF($E$7=0,0,I53/$E$7*$E$8)</f>
        <v>1980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>
      <c r="B54" s="287" t="s">
        <v>234</v>
      </c>
      <c r="C54" s="115" t="s">
        <v>235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1892</v>
      </c>
      <c r="J54" s="167">
        <f t="shared" si="23"/>
        <v>0</v>
      </c>
      <c r="K54" s="168">
        <f t="shared" si="25"/>
        <v>1892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>
      <c r="B55" s="143" t="s">
        <v>236</v>
      </c>
      <c r="C55" s="144"/>
      <c r="D55" s="145"/>
      <c r="E55" s="145"/>
      <c r="F55" s="145"/>
      <c r="G55" s="145"/>
      <c r="H55" s="268"/>
      <c r="I55" s="148">
        <f>SUM(I56:I58)</f>
        <v>21208</v>
      </c>
      <c r="J55" s="149">
        <f>SUM(J56:J58)</f>
        <v>0</v>
      </c>
      <c r="K55" s="150">
        <f>SUM(K56:K58)</f>
        <v>21208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>
      <c r="B56" s="97" t="s">
        <v>237</v>
      </c>
      <c r="C56" s="248" t="s">
        <v>238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4884</v>
      </c>
      <c r="J56" s="167">
        <f t="shared" ref="J56:J58" si="27">I56-K56</f>
        <v>0</v>
      </c>
      <c r="K56" s="168">
        <f t="shared" si="25"/>
        <v>4884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>
      <c r="B57" s="97" t="s">
        <v>239</v>
      </c>
      <c r="C57" s="248" t="s">
        <v>240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12100</v>
      </c>
      <c r="J57" s="167">
        <f t="shared" si="27"/>
        <v>0</v>
      </c>
      <c r="K57" s="168">
        <f t="shared" si="25"/>
        <v>12100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>
      <c r="B58" s="97" t="s">
        <v>241</v>
      </c>
      <c r="C58" s="248" t="s">
        <v>242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4224</v>
      </c>
      <c r="J58" s="167">
        <f t="shared" si="27"/>
        <v>0</v>
      </c>
      <c r="K58" s="168">
        <f t="shared" si="25"/>
        <v>4224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>
      <c r="B59" s="143" t="s">
        <v>243</v>
      </c>
      <c r="C59" s="144"/>
      <c r="D59" s="145"/>
      <c r="E59" s="145"/>
      <c r="F59" s="145"/>
      <c r="G59" s="145"/>
      <c r="H59" s="268"/>
      <c r="I59" s="148">
        <f>I50+I55</f>
        <v>47520</v>
      </c>
      <c r="J59" s="149">
        <f>J50+J55</f>
        <v>0</v>
      </c>
      <c r="K59" s="150">
        <f>K50+K55</f>
        <v>47520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0.30315789473684213</v>
      </c>
      <c r="R59" s="300" t="s">
        <v>168</v>
      </c>
      <c r="S59" s="301">
        <f>IF((K59+K46)=0,0,K59/(K59+K46))</f>
        <v>0.30641261243834028</v>
      </c>
      <c r="T59" s="153" t="s">
        <v>244</v>
      </c>
      <c r="U59" s="70"/>
    </row>
    <row r="60" spans="1:22" ht="21" customHeight="1" thickBot="1">
      <c r="A60" s="73"/>
      <c r="B60" s="274"/>
      <c r="C60" s="302"/>
      <c r="D60" s="302"/>
      <c r="E60" s="276"/>
      <c r="F60" s="276"/>
      <c r="G60" s="276"/>
      <c r="H60" s="74" t="s">
        <v>245</v>
      </c>
      <c r="I60" s="267">
        <f>IF(E7=0,0,I59/E7)</f>
        <v>2160</v>
      </c>
      <c r="J60" s="267">
        <f>IF((E7-E8)=0,0,J59/(E7-E8))</f>
        <v>0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>
      <c r="B62" s="309" t="s">
        <v>246</v>
      </c>
      <c r="C62" s="309"/>
      <c r="D62" s="310"/>
      <c r="E62" s="311"/>
      <c r="F62" s="310"/>
      <c r="G62" s="312"/>
      <c r="H62" s="313"/>
      <c r="I62" s="314">
        <f>I59+I46</f>
        <v>155085</v>
      </c>
      <c r="J62" s="314">
        <f>J59+J46</f>
        <v>0</v>
      </c>
      <c r="K62" s="315">
        <f>K59+K46</f>
        <v>155085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0.98937799043062202</v>
      </c>
      <c r="R62" s="153" t="s">
        <v>168</v>
      </c>
      <c r="U62" s="121"/>
      <c r="V62" s="121"/>
    </row>
    <row r="63" spans="1:22" s="121" customFormat="1" ht="18.75" customHeight="1">
      <c r="B63" s="208"/>
      <c r="C63" s="289"/>
      <c r="D63" s="316"/>
      <c r="E63" s="316"/>
      <c r="F63" s="316"/>
      <c r="G63" s="317"/>
      <c r="H63" s="317" t="s">
        <v>247</v>
      </c>
      <c r="I63" s="318">
        <f>IF(E7=0,0,I62/$E$7)</f>
        <v>7049.318181818182</v>
      </c>
      <c r="J63" s="319">
        <f>IF(($E$7-$E$8)=0,0,J62/($E$7-$E$8))</f>
        <v>0</v>
      </c>
      <c r="K63" s="320">
        <f>IF(E8=0,0,K62/$E$8)</f>
        <v>7049.318181818182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>
      <c r="B64" s="220"/>
      <c r="C64" s="323"/>
      <c r="D64" s="324"/>
      <c r="E64" s="324"/>
      <c r="F64" s="324"/>
      <c r="G64" s="325"/>
      <c r="H64" s="325" t="s">
        <v>248</v>
      </c>
      <c r="I64" s="258">
        <f t="shared" ref="I64:P64" si="30">IF(I33=0,0,I62/I33)</f>
        <v>237.67816091954023</v>
      </c>
      <c r="J64" s="258">
        <f t="shared" si="30"/>
        <v>0</v>
      </c>
      <c r="K64" s="258">
        <f t="shared" si="30"/>
        <v>237.67816091954023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4.45" thickBot="1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>
      <c r="B66" s="504" t="s">
        <v>249</v>
      </c>
      <c r="C66" s="505"/>
      <c r="D66" s="505"/>
      <c r="E66" s="505"/>
      <c r="F66" s="505"/>
      <c r="G66" s="505"/>
      <c r="H66" s="505"/>
      <c r="I66" s="505"/>
      <c r="J66" s="505"/>
      <c r="K66" s="495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9" thickBot="1">
      <c r="B68" s="281" t="s">
        <v>250</v>
      </c>
      <c r="C68" s="282" t="s">
        <v>251</v>
      </c>
      <c r="D68" s="283"/>
      <c r="E68" s="283"/>
      <c r="F68" s="283"/>
      <c r="G68" s="283"/>
      <c r="H68" s="332"/>
      <c r="I68" s="333" t="s">
        <v>160</v>
      </c>
      <c r="J68" s="135" t="s">
        <v>161</v>
      </c>
      <c r="K68" s="136" t="s">
        <v>226</v>
      </c>
      <c r="L68" s="284" t="s">
        <v>163</v>
      </c>
      <c r="M68" s="134" t="s">
        <v>164</v>
      </c>
      <c r="N68" s="134" t="s">
        <v>165</v>
      </c>
      <c r="O68" s="334" t="s">
        <v>166</v>
      </c>
      <c r="P68" s="335" t="s">
        <v>0</v>
      </c>
      <c r="Q68" s="285"/>
      <c r="R68" s="142"/>
      <c r="U68" s="73"/>
      <c r="V68" s="73"/>
    </row>
    <row r="69" spans="2:24" ht="24" customHeight="1">
      <c r="B69" s="236" t="s">
        <v>252</v>
      </c>
      <c r="C69" s="288" t="s">
        <v>253</v>
      </c>
      <c r="D69" s="336"/>
      <c r="E69" s="336"/>
      <c r="F69" s="336"/>
      <c r="G69" s="336"/>
      <c r="H69" s="337"/>
      <c r="I69" s="338">
        <f>J69+K69</f>
        <v>156750</v>
      </c>
      <c r="J69" s="338">
        <f>'Recettes et simulat'!G16</f>
        <v>0</v>
      </c>
      <c r="K69" s="339">
        <f>'Recettes et simulat'!J28</f>
        <v>156750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>
      <c r="B70" s="253" t="s">
        <v>254</v>
      </c>
      <c r="C70" s="254" t="s">
        <v>255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>
      <c r="B72" s="309" t="s">
        <v>256</v>
      </c>
      <c r="C72" s="309"/>
      <c r="D72" s="310"/>
      <c r="E72" s="311"/>
      <c r="F72" s="310"/>
      <c r="G72" s="312"/>
      <c r="H72" s="313"/>
      <c r="I72" s="314">
        <f>I69+I70</f>
        <v>156750</v>
      </c>
      <c r="J72" s="314">
        <f>J69+J70</f>
        <v>0</v>
      </c>
      <c r="K72" s="315">
        <f>K69+K70</f>
        <v>156750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>
      <c r="B73" s="274"/>
      <c r="C73" s="302"/>
      <c r="D73" s="355"/>
      <c r="E73" s="355"/>
      <c r="F73" s="355"/>
      <c r="G73" s="356"/>
      <c r="H73" s="356" t="s">
        <v>257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4.45" thickBot="1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>
      <c r="B75" s="309" t="s">
        <v>258</v>
      </c>
      <c r="C75" s="309"/>
      <c r="D75" s="310"/>
      <c r="E75" s="311"/>
      <c r="F75" s="310"/>
      <c r="G75" s="312"/>
      <c r="H75" s="313"/>
      <c r="I75" s="314">
        <f t="shared" ref="I75:P75" si="32">I72-I62</f>
        <v>1665</v>
      </c>
      <c r="J75" s="314">
        <f t="shared" si="32"/>
        <v>0</v>
      </c>
      <c r="K75" s="315">
        <f t="shared" si="32"/>
        <v>1665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1.0622009569377991E-2</v>
      </c>
      <c r="R75" s="153" t="s">
        <v>168</v>
      </c>
      <c r="U75" s="121"/>
      <c r="V75" s="121"/>
      <c r="X75" s="69"/>
    </row>
    <row r="76" spans="2:24" s="73" customFormat="1" ht="14.45" hidden="1" customHeight="1" thickBot="1">
      <c r="B76" s="309" t="s">
        <v>259</v>
      </c>
      <c r="C76" s="309"/>
      <c r="D76" s="310"/>
      <c r="E76" s="311"/>
      <c r="F76" s="310"/>
      <c r="G76" s="312"/>
      <c r="H76" s="313"/>
      <c r="I76" s="314">
        <f>'Budget détaillé heures comp'!I75</f>
        <v>71772.5</v>
      </c>
      <c r="J76" s="314">
        <f>'Budget détaillé heures comp'!J75</f>
        <v>0</v>
      </c>
      <c r="K76" s="315">
        <f>'Budget détaillé heures comp'!K75</f>
        <v>71772.5</v>
      </c>
      <c r="L76" s="314"/>
      <c r="M76" s="314"/>
      <c r="N76" s="314"/>
      <c r="O76" s="314"/>
      <c r="P76" s="315"/>
      <c r="Q76" s="152">
        <f>IF($K$72=0,0,K76/$K$72)</f>
        <v>0.45787878787878789</v>
      </c>
      <c r="R76" s="153" t="s">
        <v>168</v>
      </c>
      <c r="U76" s="121"/>
      <c r="V76" s="121"/>
      <c r="X76" s="69"/>
    </row>
    <row r="77" spans="2:24" ht="13.9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D14" sqref="D14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19" t="s">
        <v>260</v>
      </c>
      <c r="C3" s="520"/>
      <c r="D3" s="520"/>
      <c r="E3" s="4"/>
      <c r="F3" s="4"/>
      <c r="G3" s="4"/>
      <c r="I3" s="8" t="s">
        <v>261</v>
      </c>
    </row>
    <row r="4" spans="2:9">
      <c r="C4" s="6"/>
      <c r="D4" s="6"/>
      <c r="E4" s="6"/>
      <c r="F4" s="7"/>
      <c r="G4" s="7"/>
    </row>
    <row r="5" spans="2:9" ht="14.45">
      <c r="E5" s="1" t="s">
        <v>262</v>
      </c>
      <c r="F5" s="410" t="s">
        <v>263</v>
      </c>
      <c r="G5" s="410" t="s">
        <v>264</v>
      </c>
    </row>
    <row r="6" spans="2:9" ht="14.45">
      <c r="B6" s="518" t="s">
        <v>265</v>
      </c>
      <c r="C6" s="4" t="s">
        <v>266</v>
      </c>
      <c r="D6" s="3" t="s">
        <v>36</v>
      </c>
      <c r="E6" s="3">
        <v>1</v>
      </c>
      <c r="F6" s="3">
        <v>1.5</v>
      </c>
      <c r="G6" s="3">
        <v>1.5</v>
      </c>
      <c r="I6" s="5" t="s">
        <v>267</v>
      </c>
    </row>
    <row r="7" spans="2:9" ht="14.45">
      <c r="B7" s="518"/>
      <c r="C7" s="4" t="s">
        <v>268</v>
      </c>
      <c r="D7" s="422" t="s">
        <v>76</v>
      </c>
      <c r="E7" s="3">
        <v>1</v>
      </c>
      <c r="F7" s="3">
        <v>1</v>
      </c>
      <c r="G7" s="3">
        <v>1</v>
      </c>
      <c r="I7" s="5" t="s">
        <v>269</v>
      </c>
    </row>
    <row r="8" spans="2:9" ht="14.45">
      <c r="B8" s="518"/>
      <c r="C8" s="5" t="s">
        <v>270</v>
      </c>
      <c r="D8" s="422" t="s">
        <v>271</v>
      </c>
      <c r="E8" s="3">
        <v>1</v>
      </c>
      <c r="F8" s="3">
        <v>0.66</v>
      </c>
      <c r="G8" s="3">
        <v>0.66</v>
      </c>
      <c r="I8" s="5" t="s">
        <v>272</v>
      </c>
    </row>
    <row r="9" spans="2:9" ht="14.45">
      <c r="B9" s="518" t="s">
        <v>273</v>
      </c>
      <c r="C9" s="4" t="s">
        <v>274</v>
      </c>
      <c r="D9" s="422" t="s">
        <v>275</v>
      </c>
      <c r="E9" s="422">
        <v>0</v>
      </c>
      <c r="F9" s="3">
        <v>0</v>
      </c>
      <c r="G9" s="3">
        <v>1</v>
      </c>
      <c r="I9" s="5" t="s">
        <v>276</v>
      </c>
    </row>
    <row r="10" spans="2:9" ht="14.45">
      <c r="B10" s="518"/>
      <c r="C10" s="5" t="s">
        <v>277</v>
      </c>
      <c r="D10" s="422" t="s">
        <v>278</v>
      </c>
      <c r="E10" s="3">
        <v>1</v>
      </c>
      <c r="F10" s="3">
        <v>1</v>
      </c>
      <c r="G10" s="3">
        <v>1</v>
      </c>
      <c r="I10" s="5" t="s">
        <v>279</v>
      </c>
    </row>
    <row r="11" spans="2:9" ht="14.45">
      <c r="B11" s="518"/>
      <c r="C11" s="5" t="s">
        <v>280</v>
      </c>
      <c r="D11" s="422" t="s">
        <v>281</v>
      </c>
      <c r="E11" s="3">
        <v>1</v>
      </c>
      <c r="F11" s="3">
        <v>1.5</v>
      </c>
      <c r="G11" s="3">
        <v>1.5</v>
      </c>
      <c r="I11" s="5" t="s">
        <v>282</v>
      </c>
    </row>
    <row r="12" spans="2:9" ht="14.45">
      <c r="B12" s="518"/>
      <c r="C12" s="4" t="s">
        <v>283</v>
      </c>
      <c r="D12" s="422" t="s">
        <v>96</v>
      </c>
      <c r="E12" s="3">
        <v>0</v>
      </c>
      <c r="F12" s="3">
        <v>0</v>
      </c>
      <c r="G12" s="3">
        <v>1</v>
      </c>
      <c r="I12" s="5" t="s">
        <v>284</v>
      </c>
    </row>
    <row r="13" spans="2:9" ht="14.45">
      <c r="B13" s="518"/>
      <c r="C13" s="5" t="s">
        <v>285</v>
      </c>
      <c r="D13" s="422" t="s">
        <v>286</v>
      </c>
      <c r="E13" s="3">
        <v>1</v>
      </c>
      <c r="F13" s="3">
        <v>1</v>
      </c>
      <c r="G13" s="3">
        <v>1</v>
      </c>
      <c r="I13" s="5" t="s">
        <v>287</v>
      </c>
    </row>
    <row r="14" spans="2:9" ht="14.45">
      <c r="B14" s="518"/>
      <c r="C14" s="5" t="s">
        <v>288</v>
      </c>
      <c r="D14" s="422" t="s">
        <v>289</v>
      </c>
      <c r="E14" s="3">
        <v>1</v>
      </c>
      <c r="F14" s="3">
        <v>1.5</v>
      </c>
      <c r="G14" s="3">
        <v>1.5</v>
      </c>
      <c r="I14" s="5" t="s">
        <v>290</v>
      </c>
    </row>
    <row r="15" spans="2:9" ht="14.45">
      <c r="B15" s="518"/>
      <c r="C15" s="4" t="s">
        <v>291</v>
      </c>
      <c r="D15" s="422" t="s">
        <v>72</v>
      </c>
      <c r="E15" s="3">
        <v>0</v>
      </c>
      <c r="F15" s="3">
        <v>0</v>
      </c>
      <c r="G15" s="3">
        <v>1</v>
      </c>
      <c r="I15" s="5" t="s">
        <v>292</v>
      </c>
    </row>
    <row r="16" spans="2:9" ht="14.45">
      <c r="B16" s="518"/>
      <c r="C16" s="5" t="s">
        <v>293</v>
      </c>
      <c r="D16" s="422" t="s">
        <v>69</v>
      </c>
      <c r="E16" s="3">
        <v>1</v>
      </c>
      <c r="F16" s="3">
        <v>1</v>
      </c>
      <c r="G16" s="3">
        <v>1</v>
      </c>
      <c r="I16" s="5" t="s">
        <v>111</v>
      </c>
    </row>
    <row r="17" spans="2:19" ht="14.45">
      <c r="B17" s="518"/>
      <c r="C17" s="5" t="s">
        <v>294</v>
      </c>
      <c r="D17" s="422" t="s">
        <v>295</v>
      </c>
      <c r="E17" s="3">
        <v>1</v>
      </c>
      <c r="F17" s="3">
        <v>1.5</v>
      </c>
      <c r="G17" s="3">
        <v>1.5</v>
      </c>
      <c r="I17" s="5" t="s">
        <v>296</v>
      </c>
    </row>
    <row r="18" spans="2:19" ht="14.45">
      <c r="B18" s="518"/>
      <c r="C18" s="4" t="s">
        <v>297</v>
      </c>
      <c r="D18" s="422" t="s">
        <v>298</v>
      </c>
      <c r="E18" s="3">
        <v>0</v>
      </c>
      <c r="F18" s="3">
        <v>0</v>
      </c>
      <c r="G18" s="3">
        <v>1</v>
      </c>
      <c r="I18" s="2"/>
    </row>
    <row r="19" spans="2:19" ht="14.45">
      <c r="B19" s="518"/>
      <c r="C19" s="5" t="s">
        <v>299</v>
      </c>
      <c r="D19" s="422" t="s">
        <v>86</v>
      </c>
      <c r="E19" s="3">
        <v>1</v>
      </c>
      <c r="F19" s="3">
        <v>1</v>
      </c>
      <c r="G19" s="3">
        <v>1</v>
      </c>
      <c r="I19" s="2"/>
    </row>
    <row r="20" spans="2:19" ht="14.45">
      <c r="B20" s="518"/>
      <c r="C20" s="5" t="s">
        <v>300</v>
      </c>
      <c r="D20" s="422" t="s">
        <v>301</v>
      </c>
      <c r="E20" s="3">
        <v>1</v>
      </c>
      <c r="F20" s="3">
        <v>1.5</v>
      </c>
      <c r="G20" s="3">
        <v>1.5</v>
      </c>
    </row>
    <row r="21" spans="2:19" ht="14.45">
      <c r="B21" s="518"/>
      <c r="C21" s="4" t="s">
        <v>302</v>
      </c>
      <c r="D21" s="422" t="s">
        <v>303</v>
      </c>
      <c r="E21" s="3">
        <v>1</v>
      </c>
      <c r="F21" s="3">
        <v>1</v>
      </c>
      <c r="G21" s="3">
        <v>1</v>
      </c>
    </row>
    <row r="22" spans="2:19" ht="14.45">
      <c r="B22" s="518"/>
      <c r="C22" s="4" t="s">
        <v>304</v>
      </c>
      <c r="D22" s="422" t="s">
        <v>93</v>
      </c>
      <c r="E22" s="3">
        <v>0</v>
      </c>
      <c r="F22" s="3">
        <v>0</v>
      </c>
      <c r="G22" s="3">
        <v>1</v>
      </c>
    </row>
    <row r="23" spans="2:19" ht="14.45">
      <c r="B23" s="518"/>
      <c r="C23" s="5" t="s">
        <v>305</v>
      </c>
      <c r="D23" s="422" t="s">
        <v>306</v>
      </c>
      <c r="E23" s="422">
        <v>1</v>
      </c>
      <c r="F23" s="3">
        <v>1</v>
      </c>
      <c r="G23" s="3">
        <v>1</v>
      </c>
    </row>
    <row r="24" spans="2:19" ht="14.45">
      <c r="B24" s="518"/>
      <c r="C24" s="5" t="s">
        <v>307</v>
      </c>
      <c r="D24" s="5" t="s">
        <v>308</v>
      </c>
      <c r="E24" s="4">
        <v>1</v>
      </c>
      <c r="F24" s="3">
        <v>1.5</v>
      </c>
      <c r="G24" s="3">
        <v>1.5</v>
      </c>
    </row>
    <row r="25" spans="2:19" ht="14.45">
      <c r="B25" s="518"/>
      <c r="C25" s="4" t="s">
        <v>309</v>
      </c>
      <c r="D25" s="5" t="s">
        <v>310</v>
      </c>
      <c r="E25" s="5">
        <v>0</v>
      </c>
      <c r="F25" s="3">
        <v>0</v>
      </c>
      <c r="G25" s="3">
        <v>1</v>
      </c>
    </row>
    <row r="26" spans="2:19">
      <c r="B26" s="518"/>
      <c r="C26" s="5" t="s">
        <v>311</v>
      </c>
      <c r="D26" s="5" t="s">
        <v>312</v>
      </c>
      <c r="E26" s="5">
        <v>1</v>
      </c>
      <c r="F26" s="4">
        <v>1</v>
      </c>
      <c r="G26" s="4">
        <v>1</v>
      </c>
    </row>
    <row r="27" spans="2:19">
      <c r="B27" s="518"/>
      <c r="C27" s="5" t="s">
        <v>313</v>
      </c>
      <c r="D27" s="5" t="s">
        <v>314</v>
      </c>
      <c r="E27" s="5">
        <v>1</v>
      </c>
      <c r="F27" s="4">
        <v>1.5</v>
      </c>
      <c r="G27" s="4">
        <v>1.5</v>
      </c>
    </row>
    <row r="31" spans="2:19" ht="13.9">
      <c r="S31" s="121"/>
    </row>
    <row r="32" spans="2:19" ht="13.9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>
      <c r="A2" s="73"/>
      <c r="B2" s="504" t="s">
        <v>152</v>
      </c>
      <c r="C2" s="505"/>
      <c r="D2" s="505"/>
      <c r="E2" s="505"/>
      <c r="F2" s="505"/>
      <c r="G2" s="505"/>
      <c r="H2" s="505"/>
      <c r="I2" s="505"/>
      <c r="J2" s="505"/>
      <c r="K2" s="495"/>
      <c r="L2" s="504" t="s">
        <v>153</v>
      </c>
      <c r="M2" s="505"/>
      <c r="N2" s="505"/>
      <c r="O2" s="505"/>
      <c r="P2" s="495"/>
      <c r="Q2" s="69"/>
      <c r="R2" s="69"/>
      <c r="S2" s="73"/>
      <c r="T2" s="73"/>
      <c r="U2" s="73"/>
      <c r="V2" s="73"/>
    </row>
    <row r="3" spans="1:22" ht="6.75" customHeight="1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>
      <c r="A5" s="73"/>
      <c r="B5" s="73"/>
      <c r="C5" s="114" t="s">
        <v>101</v>
      </c>
      <c r="D5" s="512" t="str">
        <f>'Recettes et simulat'!D4</f>
        <v>Université Lumière Lyon 2</v>
      </c>
      <c r="E5" s="514"/>
      <c r="F5" s="73"/>
      <c r="G5" s="114" t="s">
        <v>103</v>
      </c>
      <c r="H5" s="512" t="str">
        <f>'Recettes et simulat'!H4</f>
        <v>Master</v>
      </c>
      <c r="I5" s="513"/>
      <c r="J5" s="513"/>
      <c r="K5" s="514"/>
      <c r="L5" s="110"/>
      <c r="M5" s="110"/>
      <c r="N5" s="110"/>
      <c r="O5" s="110"/>
      <c r="P5" s="110"/>
      <c r="Q5" s="69"/>
      <c r="R5" s="69"/>
      <c r="S5" s="73"/>
      <c r="T5" s="73"/>
      <c r="U5" s="77" t="s">
        <v>112</v>
      </c>
      <c r="V5" s="73"/>
    </row>
    <row r="6" spans="1:22" ht="22.15" customHeight="1">
      <c r="A6" s="73"/>
      <c r="B6" s="73"/>
      <c r="C6" s="113" t="s">
        <v>105</v>
      </c>
      <c r="D6" s="512" t="str">
        <f>'Recettes et simulat'!D5</f>
        <v>RNCP 34221</v>
      </c>
      <c r="E6" s="514"/>
      <c r="F6" s="73"/>
      <c r="G6" s="114" t="s">
        <v>154</v>
      </c>
      <c r="H6" s="512" t="str">
        <f>'Recettes et simulat'!H5</f>
        <v>M2 Transport et Logistique Industrielle et Commerciale</v>
      </c>
      <c r="I6" s="513"/>
      <c r="J6" s="513"/>
      <c r="K6" s="514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>
      <c r="A7" s="73"/>
      <c r="B7" s="73"/>
      <c r="C7" s="115" t="s">
        <v>109</v>
      </c>
      <c r="D7" s="116"/>
      <c r="E7" s="117">
        <f>'Recettes et simulat'!E6</f>
        <v>22</v>
      </c>
      <c r="F7" s="73"/>
      <c r="G7" s="114" t="s">
        <v>110</v>
      </c>
      <c r="H7" s="512" t="str">
        <f>'Recettes et simulat'!H6</f>
        <v>SEG - Sciences Economiques et de Gestion</v>
      </c>
      <c r="I7" s="513"/>
      <c r="J7" s="513"/>
      <c r="K7" s="514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>
      <c r="A8" s="73"/>
      <c r="B8" s="73"/>
      <c r="C8" s="115" t="s">
        <v>113</v>
      </c>
      <c r="D8" s="116"/>
      <c r="E8" s="117">
        <f>'Recettes et simulat'!E7</f>
        <v>22</v>
      </c>
      <c r="F8" s="73"/>
      <c r="G8" s="78" t="s">
        <v>114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>
      <c r="A11" s="73"/>
      <c r="B11" s="504" t="s">
        <v>155</v>
      </c>
      <c r="C11" s="505"/>
      <c r="D11" s="505"/>
      <c r="E11" s="505"/>
      <c r="F11" s="505"/>
      <c r="G11" s="505"/>
      <c r="H11" s="505"/>
      <c r="I11" s="505"/>
      <c r="J11" s="505"/>
      <c r="K11" s="495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9.599999999999994" thickBot="1">
      <c r="B13" s="132" t="s">
        <v>156</v>
      </c>
      <c r="C13" s="515" t="s">
        <v>157</v>
      </c>
      <c r="D13" s="516"/>
      <c r="E13" s="516"/>
      <c r="F13" s="517"/>
      <c r="G13" s="133" t="s">
        <v>158</v>
      </c>
      <c r="H13" s="134" t="s">
        <v>159</v>
      </c>
      <c r="I13" s="134" t="s">
        <v>160</v>
      </c>
      <c r="J13" s="135" t="s">
        <v>161</v>
      </c>
      <c r="K13" s="136" t="s">
        <v>162</v>
      </c>
      <c r="L13" s="137" t="s">
        <v>163</v>
      </c>
      <c r="M13" s="138" t="s">
        <v>164</v>
      </c>
      <c r="N13" s="138" t="s">
        <v>165</v>
      </c>
      <c r="O13" s="139" t="s">
        <v>166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>
      <c r="B14" s="143" t="s">
        <v>167</v>
      </c>
      <c r="C14" s="144"/>
      <c r="D14" s="145"/>
      <c r="E14" s="145"/>
      <c r="F14" s="145"/>
      <c r="G14" s="146">
        <f>G20+G27+G32</f>
        <v>652.5</v>
      </c>
      <c r="H14" s="147">
        <f>IF(G20+G27+G32=0,0,(I20+I27+I32)/(G20+G27+G32))</f>
        <v>46.831417624521066</v>
      </c>
      <c r="I14" s="148">
        <f>I20+I32+I27</f>
        <v>30557.499999999996</v>
      </c>
      <c r="J14" s="149">
        <f>J20+J32+J27</f>
        <v>0</v>
      </c>
      <c r="K14" s="150">
        <f>K20+K32+K27</f>
        <v>30557.499999999996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0.19494417862838914</v>
      </c>
      <c r="R14" s="153" t="s">
        <v>168</v>
      </c>
      <c r="S14" s="73"/>
      <c r="T14" s="69"/>
      <c r="U14" s="69"/>
      <c r="V14" s="73"/>
    </row>
    <row r="15" spans="1:22" s="73" customFormat="1" ht="16.899999999999999" customHeight="1" outlineLevel="1">
      <c r="B15" s="154" t="s">
        <v>169</v>
      </c>
      <c r="C15" s="155" t="s">
        <v>170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899999999999999" customHeight="1" outlineLevel="1">
      <c r="B16" s="164" t="s">
        <v>171</v>
      </c>
      <c r="C16" s="509" t="s">
        <v>23</v>
      </c>
      <c r="D16" s="510"/>
      <c r="E16" s="510"/>
      <c r="F16" s="511"/>
      <c r="G16" s="165">
        <f>'Budget détaillé'!G16</f>
        <v>236.5</v>
      </c>
      <c r="H16" s="166">
        <v>43.48</v>
      </c>
      <c r="I16" s="167">
        <f>H16*G16</f>
        <v>10283.019999999999</v>
      </c>
      <c r="J16" s="167">
        <f>I16-K16</f>
        <v>0</v>
      </c>
      <c r="K16" s="168">
        <f>IF($E$7=0,0,I16/$E$7*$E$8)</f>
        <v>10283.019999999999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0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236.5</v>
      </c>
    </row>
    <row r="17" spans="2:23" s="121" customFormat="1" ht="16.899999999999999" customHeight="1" outlineLevel="1">
      <c r="B17" s="164" t="s">
        <v>172</v>
      </c>
      <c r="C17" s="509" t="s">
        <v>24</v>
      </c>
      <c r="D17" s="510"/>
      <c r="E17" s="510"/>
      <c r="F17" s="511"/>
      <c r="G17" s="165">
        <f>'Budget détaillé'!G17</f>
        <v>0</v>
      </c>
      <c r="H17" s="368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6.899999999999999" customHeight="1" outlineLevel="1">
      <c r="B18" s="164" t="s">
        <v>173</v>
      </c>
      <c r="C18" s="509" t="s">
        <v>174</v>
      </c>
      <c r="D18" s="510"/>
      <c r="E18" s="510"/>
      <c r="F18" s="511"/>
      <c r="G18" s="165">
        <f>'Budget détaillé'!G18</f>
        <v>198</v>
      </c>
      <c r="H18" s="166">
        <v>52</v>
      </c>
      <c r="I18" s="173">
        <f>H18*G18</f>
        <v>10296</v>
      </c>
      <c r="J18" s="167">
        <f t="shared" si="2"/>
        <v>0</v>
      </c>
      <c r="K18" s="168">
        <f t="shared" si="3"/>
        <v>10296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0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198</v>
      </c>
    </row>
    <row r="19" spans="2:23" s="121" customFormat="1" ht="18.600000000000001" customHeight="1" outlineLevel="1">
      <c r="B19" s="164" t="s">
        <v>175</v>
      </c>
      <c r="C19" s="509" t="s">
        <v>176</v>
      </c>
      <c r="D19" s="510"/>
      <c r="E19" s="510"/>
      <c r="F19" s="511"/>
      <c r="G19" s="165">
        <f>'Budget détaillé'!G19</f>
        <v>0</v>
      </c>
      <c r="H19" s="175">
        <f>'Budget détaillé'!H19</f>
        <v>0</v>
      </c>
      <c r="I19" s="173">
        <f t="shared" ref="I19" si="6">H19*G19</f>
        <v>0</v>
      </c>
      <c r="J19" s="167">
        <f t="shared" si="2"/>
        <v>0</v>
      </c>
      <c r="K19" s="168">
        <f t="shared" si="3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0</v>
      </c>
    </row>
    <row r="20" spans="2:23" s="121" customFormat="1" ht="22.15" customHeight="1" outlineLevel="1" thickBot="1">
      <c r="B20" s="506" t="s">
        <v>177</v>
      </c>
      <c r="C20" s="507"/>
      <c r="D20" s="507"/>
      <c r="E20" s="507"/>
      <c r="F20" s="508"/>
      <c r="G20" s="177">
        <f>SUM(G16:G19)</f>
        <v>434.5</v>
      </c>
      <c r="H20" s="178">
        <f>IF(G20=0,0,I20/G20)</f>
        <v>47.362531645569611</v>
      </c>
      <c r="I20" s="179">
        <f>SUM(I16:I19)</f>
        <v>20579.019999999997</v>
      </c>
      <c r="J20" s="180">
        <f>SUM(J16:J19)</f>
        <v>0</v>
      </c>
      <c r="K20" s="181">
        <f>SUM(K16:K19)</f>
        <v>20579.019999999997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0.13128561403508771</v>
      </c>
      <c r="R20" s="153" t="s">
        <v>168</v>
      </c>
      <c r="S20" s="73"/>
      <c r="T20" s="69"/>
      <c r="U20" s="69"/>
      <c r="V20" s="73"/>
    </row>
    <row r="21" spans="2:23" s="73" customFormat="1" ht="16.899999999999999" customHeight="1" outlineLevel="1">
      <c r="B21" s="154" t="s">
        <v>178</v>
      </c>
      <c r="C21" s="155" t="s">
        <v>179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>
      <c r="B22" s="164" t="s">
        <v>180</v>
      </c>
      <c r="C22" s="418" t="s">
        <v>181</v>
      </c>
      <c r="D22" s="420"/>
      <c r="E22" s="420"/>
      <c r="F22" s="421"/>
      <c r="G22" s="165">
        <f>'Budget détaillé'!G22</f>
        <v>0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0</v>
      </c>
      <c r="W22" s="88"/>
    </row>
    <row r="23" spans="2:23" s="121" customFormat="1" ht="16.899999999999999" customHeight="1" outlineLevel="1">
      <c r="B23" s="164" t="s">
        <v>182</v>
      </c>
      <c r="C23" s="509" t="s">
        <v>183</v>
      </c>
      <c r="D23" s="510"/>
      <c r="E23" s="510"/>
      <c r="F23" s="511"/>
      <c r="G23" s="165">
        <f>'Budget détaillé'!G23</f>
        <v>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0</v>
      </c>
      <c r="W23" s="88"/>
    </row>
    <row r="24" spans="2:23" s="121" customFormat="1" ht="16.899999999999999" customHeight="1" outlineLevel="1">
      <c r="B24" s="164" t="s">
        <v>184</v>
      </c>
      <c r="C24" s="509" t="s">
        <v>185</v>
      </c>
      <c r="D24" s="510"/>
      <c r="E24" s="510"/>
      <c r="F24" s="511"/>
      <c r="G24" s="165">
        <f>'Budget détaillé'!G24</f>
        <v>0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0</v>
      </c>
      <c r="W24" s="88"/>
    </row>
    <row r="25" spans="2:23" s="121" customFormat="1" ht="16.899999999999999" customHeight="1" outlineLevel="1">
      <c r="B25" s="164" t="s">
        <v>186</v>
      </c>
      <c r="C25" s="509" t="s">
        <v>187</v>
      </c>
      <c r="D25" s="510"/>
      <c r="E25" s="510"/>
      <c r="F25" s="511"/>
      <c r="G25" s="165">
        <f>'Budget détaillé'!G25</f>
        <v>190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46.110736842105261</v>
      </c>
      <c r="I25" s="167">
        <f>H25*G25</f>
        <v>8761.0399999999991</v>
      </c>
      <c r="J25" s="167">
        <f>I25-K25</f>
        <v>0</v>
      </c>
      <c r="K25" s="168">
        <f>I25</f>
        <v>8761.0399999999991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190</v>
      </c>
      <c r="W25" s="88"/>
    </row>
    <row r="26" spans="2:23" s="121" customFormat="1" ht="16.899999999999999" customHeight="1" outlineLevel="1">
      <c r="B26" s="164" t="s">
        <v>188</v>
      </c>
      <c r="C26" s="509" t="s">
        <v>189</v>
      </c>
      <c r="D26" s="510"/>
      <c r="E26" s="510"/>
      <c r="F26" s="511"/>
      <c r="G26" s="165">
        <f>'Budget détaillé'!G26</f>
        <v>4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43.48</v>
      </c>
      <c r="I26" s="167">
        <f>H26*G26</f>
        <v>173.92</v>
      </c>
      <c r="J26" s="167">
        <f>I26-K26</f>
        <v>0</v>
      </c>
      <c r="K26" s="168">
        <f t="shared" ref="K26" si="12">IF($E$7=0,0,I26/$E$7*$E$8)</f>
        <v>173.92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4</v>
      </c>
      <c r="W26" s="88"/>
    </row>
    <row r="27" spans="2:23" s="121" customFormat="1" ht="21.6" customHeight="1" outlineLevel="1" thickBot="1">
      <c r="B27" s="506" t="s">
        <v>190</v>
      </c>
      <c r="C27" s="507"/>
      <c r="D27" s="507"/>
      <c r="E27" s="507"/>
      <c r="F27" s="508"/>
      <c r="G27" s="177">
        <f>SUM(G22:G26)</f>
        <v>194</v>
      </c>
      <c r="H27" s="178">
        <f>IF(G27=0,0,I27/G27)</f>
        <v>46.056494845360817</v>
      </c>
      <c r="I27" s="178">
        <f>SUM(I22:I26)</f>
        <v>8934.9599999999991</v>
      </c>
      <c r="J27" s="178">
        <f t="shared" ref="J27:K27" si="13">SUM(J22:J26)</f>
        <v>0</v>
      </c>
      <c r="K27" s="178">
        <f t="shared" si="13"/>
        <v>8934.9599999999991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5.7001339712918653E-2</v>
      </c>
      <c r="R27" s="153" t="s">
        <v>168</v>
      </c>
      <c r="S27" s="73"/>
      <c r="T27" s="120"/>
    </row>
    <row r="28" spans="2:23" s="121" customFormat="1" ht="16.899999999999999" customHeight="1" outlineLevel="1">
      <c r="B28" s="187" t="s">
        <v>191</v>
      </c>
      <c r="C28" s="188" t="s">
        <v>192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6.899999999999999" customHeight="1" outlineLevel="1">
      <c r="B29" s="164" t="s">
        <v>193</v>
      </c>
      <c r="C29" s="509" t="s">
        <v>194</v>
      </c>
      <c r="D29" s="510"/>
      <c r="E29" s="510"/>
      <c r="F29" s="511"/>
      <c r="G29" s="79">
        <f>'Budget détaillé'!G29</f>
        <v>24</v>
      </c>
      <c r="H29" s="166">
        <f>+H16</f>
        <v>43.48</v>
      </c>
      <c r="I29" s="199">
        <f>H29*G29</f>
        <v>1043.52</v>
      </c>
      <c r="J29" s="167">
        <f t="shared" ref="J29:J31" si="17">I29-K29</f>
        <v>0</v>
      </c>
      <c r="K29" s="168">
        <f t="shared" ref="K29:K31" si="18">IF($E$7=0,0,I29/$E$7*$E$8)</f>
        <v>1043.52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0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24</v>
      </c>
      <c r="W29" s="201"/>
    </row>
    <row r="30" spans="2:23" s="121" customFormat="1" ht="16.899999999999999" customHeight="1" outlineLevel="1">
      <c r="B30" s="164" t="s">
        <v>195</v>
      </c>
      <c r="C30" s="509" t="s">
        <v>196</v>
      </c>
      <c r="D30" s="510"/>
      <c r="E30" s="510"/>
      <c r="F30" s="511"/>
      <c r="G30" s="79">
        <f>'Budget détaillé'!G30</f>
        <v>0</v>
      </c>
      <c r="H30" s="166">
        <f>$H$20</f>
        <v>47.362531645569611</v>
      </c>
      <c r="I30" s="199">
        <f>H30*G30</f>
        <v>0</v>
      </c>
      <c r="J30" s="167">
        <f t="shared" si="17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0</v>
      </c>
      <c r="W30" s="201"/>
    </row>
    <row r="31" spans="2:23" s="121" customFormat="1" ht="16.899999999999999" customHeight="1" outlineLevel="1">
      <c r="B31" s="164" t="s">
        <v>197</v>
      </c>
      <c r="C31" s="419" t="s">
        <v>26</v>
      </c>
      <c r="D31" s="420"/>
      <c r="E31" s="420"/>
      <c r="F31" s="421"/>
      <c r="G31" s="79">
        <f>'Budget détaillé'!G31</f>
        <v>0</v>
      </c>
      <c r="H31" s="166">
        <f>$H$20</f>
        <v>47.362531645569611</v>
      </c>
      <c r="I31" s="203">
        <f>H31*G31</f>
        <v>0</v>
      </c>
      <c r="J31" s="167">
        <f t="shared" si="17"/>
        <v>0</v>
      </c>
      <c r="K31" s="168">
        <f t="shared" si="18"/>
        <v>0</v>
      </c>
      <c r="L31" s="204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1"/>
    </row>
    <row r="32" spans="2:23" s="121" customFormat="1" ht="21" customHeight="1" outlineLevel="1" thickBot="1">
      <c r="B32" s="521" t="s">
        <v>198</v>
      </c>
      <c r="C32" s="522"/>
      <c r="D32" s="522"/>
      <c r="E32" s="522"/>
      <c r="F32" s="523"/>
      <c r="G32" s="205">
        <f>SUM(G29:G31)</f>
        <v>24</v>
      </c>
      <c r="H32" s="206">
        <f>IF(G32=0,0,I32/G32)</f>
        <v>43.48</v>
      </c>
      <c r="I32" s="206">
        <f>SUM(I29:I31)</f>
        <v>1043.52</v>
      </c>
      <c r="J32" s="206">
        <f>SUM(J29:J31)</f>
        <v>0</v>
      </c>
      <c r="K32" s="207">
        <f>SUM(K29:K31)</f>
        <v>1043.52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6.6572248803827751E-3</v>
      </c>
      <c r="R32" s="153" t="s">
        <v>168</v>
      </c>
      <c r="S32" s="73"/>
      <c r="T32" s="120"/>
      <c r="U32" s="70"/>
    </row>
    <row r="33" spans="2:22" s="121" customFormat="1" ht="21" customHeight="1" outlineLevel="1">
      <c r="B33" s="208"/>
      <c r="C33" s="209"/>
      <c r="D33" s="210"/>
      <c r="E33" s="211"/>
      <c r="F33" s="211"/>
      <c r="G33" s="211"/>
      <c r="H33" s="212" t="s">
        <v>199</v>
      </c>
      <c r="I33" s="213">
        <f>K33+J33</f>
        <v>652.5</v>
      </c>
      <c r="J33" s="213">
        <f>SUM(Q16:Q19)+SUM(Q22:Q26)+SUM(Q29:Q31)</f>
        <v>0</v>
      </c>
      <c r="K33" s="214">
        <f>SUM(V16:V19)+SUM(V22:V26)+SUM(V29:V31)</f>
        <v>652.5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>
      <c r="B34" s="220"/>
      <c r="C34" s="221"/>
      <c r="D34" s="222"/>
      <c r="E34" s="223"/>
      <c r="F34" s="223"/>
      <c r="G34" s="223"/>
      <c r="H34" s="224" t="s">
        <v>200</v>
      </c>
      <c r="I34" s="225">
        <f>IF($E$7=0,0,(I32+I20+I27)/$E$7)</f>
        <v>1388.9772727272725</v>
      </c>
      <c r="J34" s="226">
        <f>IF($E$7-$E$8=0,0,(J32+J20+J27)/($E$7-$E$8))</f>
        <v>0</v>
      </c>
      <c r="K34" s="227">
        <f>IF($E$8=0,0,(K32+K20+K27)/$E$8)</f>
        <v>1388.9772727272725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>
      <c r="B35" s="228" t="s">
        <v>201</v>
      </c>
      <c r="C35" s="229"/>
      <c r="D35" s="230"/>
      <c r="E35" s="230"/>
      <c r="F35" s="230"/>
      <c r="G35" s="230"/>
      <c r="H35" s="231"/>
      <c r="I35" s="232">
        <f t="shared" ref="I35:P35" si="22">SUM(I36:I44)</f>
        <v>6900</v>
      </c>
      <c r="J35" s="233">
        <f t="shared" si="22"/>
        <v>0</v>
      </c>
      <c r="K35" s="234">
        <f t="shared" si="22"/>
        <v>6900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4.4019138755980861E-2</v>
      </c>
      <c r="R35" s="153" t="s">
        <v>168</v>
      </c>
      <c r="U35" s="121"/>
      <c r="V35" s="121"/>
    </row>
    <row r="36" spans="2:22" s="121" customFormat="1" ht="16.899999999999999" customHeight="1" outlineLevel="1">
      <c r="B36" s="236" t="s">
        <v>202</v>
      </c>
      <c r="C36" s="237" t="s">
        <v>203</v>
      </c>
      <c r="D36" s="238"/>
      <c r="E36" s="238"/>
      <c r="F36" s="238"/>
      <c r="G36" s="238"/>
      <c r="H36" s="238"/>
      <c r="I36" s="239">
        <f>'Budget détaillé'!I36</f>
        <v>500</v>
      </c>
      <c r="J36" s="240">
        <f>'Budget détaillé'!J36</f>
        <v>0</v>
      </c>
      <c r="K36" s="241">
        <f>'Budget détaillé'!K36</f>
        <v>500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>
      <c r="B37" s="97" t="s">
        <v>204</v>
      </c>
      <c r="C37" s="248" t="s">
        <v>205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>
      <c r="B38" s="97" t="s">
        <v>206</v>
      </c>
      <c r="C38" s="248" t="s">
        <v>207</v>
      </c>
      <c r="D38" s="249"/>
      <c r="E38" s="249"/>
      <c r="F38" s="249"/>
      <c r="G38" s="249"/>
      <c r="H38" s="249"/>
      <c r="I38" s="250">
        <f>'Budget détaillé'!I38</f>
        <v>2400</v>
      </c>
      <c r="J38" s="166">
        <f>'Budget détaillé'!J38</f>
        <v>0</v>
      </c>
      <c r="K38" s="251">
        <f>'Budget détaillé'!K38</f>
        <v>2400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6.899999999999999" customHeight="1" outlineLevel="1">
      <c r="B39" s="97" t="s">
        <v>208</v>
      </c>
      <c r="C39" s="248" t="s">
        <v>209</v>
      </c>
      <c r="D39" s="249"/>
      <c r="E39" s="249"/>
      <c r="F39" s="249"/>
      <c r="G39" s="249"/>
      <c r="H39" s="249"/>
      <c r="I39" s="250">
        <f>'Budget détaillé'!I39</f>
        <v>0</v>
      </c>
      <c r="J39" s="166">
        <f>'Budget détaillé'!J39</f>
        <v>0</v>
      </c>
      <c r="K39" s="251">
        <f>'Budget détaillé'!K39</f>
        <v>0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6.899999999999999" customHeight="1" outlineLevel="1">
      <c r="B40" s="97" t="s">
        <v>210</v>
      </c>
      <c r="C40" s="248" t="s">
        <v>211</v>
      </c>
      <c r="D40" s="249"/>
      <c r="E40" s="249"/>
      <c r="F40" s="249"/>
      <c r="G40" s="249"/>
      <c r="H40" s="249"/>
      <c r="I40" s="250">
        <f>'Budget détaillé'!I40</f>
        <v>2000</v>
      </c>
      <c r="J40" s="166">
        <f>'Budget détaillé'!J40</f>
        <v>0</v>
      </c>
      <c r="K40" s="251">
        <f>'Budget détaillé'!K40</f>
        <v>2000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>
      <c r="B41" s="97" t="s">
        <v>212</v>
      </c>
      <c r="C41" s="248" t="s">
        <v>213</v>
      </c>
      <c r="D41" s="249"/>
      <c r="E41" s="249"/>
      <c r="F41" s="249"/>
      <c r="G41" s="249"/>
      <c r="H41" s="249"/>
      <c r="I41" s="250">
        <f>'Budget détaillé'!I41</f>
        <v>0</v>
      </c>
      <c r="J41" s="166">
        <f>'Budget détaillé'!J41</f>
        <v>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>
      <c r="B42" s="97" t="s">
        <v>214</v>
      </c>
      <c r="C42" s="248" t="s">
        <v>315</v>
      </c>
      <c r="D42" s="249"/>
      <c r="E42" s="249"/>
      <c r="F42" s="249"/>
      <c r="G42" s="249"/>
      <c r="H42" s="249"/>
      <c r="I42" s="250">
        <f>'Budget détaillé'!I42</f>
        <v>2000</v>
      </c>
      <c r="J42" s="166">
        <f>'Budget détaillé'!J42</f>
        <v>0</v>
      </c>
      <c r="K42" s="251">
        <f>'Budget détaillé'!K42</f>
        <v>2000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6.899999999999999" customHeight="1" outlineLevel="1">
      <c r="B43" s="97" t="s">
        <v>216</v>
      </c>
      <c r="C43" s="248" t="s">
        <v>217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6.899999999999999" customHeight="1" outlineLevel="1" thickBot="1">
      <c r="B44" s="253" t="s">
        <v>218</v>
      </c>
      <c r="C44" s="254" t="s">
        <v>219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" customHeight="1" outlineLevel="1" thickBot="1">
      <c r="B45" s="264"/>
      <c r="C45" s="265"/>
      <c r="E45" s="266"/>
      <c r="F45" s="266"/>
      <c r="G45" s="266"/>
      <c r="H45" s="74" t="s">
        <v>220</v>
      </c>
      <c r="I45" s="267">
        <f>IF(E7=0,0,I35/$E$7)</f>
        <v>313.63636363636363</v>
      </c>
      <c r="J45" s="267">
        <f>IF(E7-E8=0,0,J35/($E$7-$E$8))</f>
        <v>0</v>
      </c>
      <c r="K45" s="227">
        <f>IF($E$8=0,0,K35/$E$8)</f>
        <v>313.63636363636363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>
      <c r="B46" s="143" t="s">
        <v>221</v>
      </c>
      <c r="C46" s="144"/>
      <c r="D46" s="145"/>
      <c r="E46" s="145"/>
      <c r="F46" s="145"/>
      <c r="G46" s="145"/>
      <c r="H46" s="268"/>
      <c r="I46" s="269">
        <f t="shared" ref="I46:P46" si="24">I35+I32+I20+I27</f>
        <v>37457.5</v>
      </c>
      <c r="J46" s="269">
        <f t="shared" si="24"/>
        <v>0</v>
      </c>
      <c r="K46" s="270">
        <f t="shared" si="24"/>
        <v>37457.5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0.23896331738437002</v>
      </c>
      <c r="R46" s="153" t="s">
        <v>168</v>
      </c>
      <c r="S46" s="273"/>
      <c r="U46" s="70"/>
      <c r="V46" s="121"/>
    </row>
    <row r="47" spans="2:22" s="121" customFormat="1" ht="21" customHeight="1" thickBot="1">
      <c r="B47" s="274"/>
      <c r="C47" s="275"/>
      <c r="D47" s="275"/>
      <c r="E47" s="276"/>
      <c r="F47" s="276"/>
      <c r="G47" s="276"/>
      <c r="H47" s="277" t="s">
        <v>222</v>
      </c>
      <c r="I47" s="225">
        <f>IF(E7=0,0,I46/E7)</f>
        <v>1702.6136363636363</v>
      </c>
      <c r="J47" s="267">
        <f>IF((E7-E8)=0,0,J46/(E7-E8))</f>
        <v>0</v>
      </c>
      <c r="K47" s="278">
        <f>IF(E8=0,0,K46/E8)</f>
        <v>1702.6136363636363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5.9" thickBot="1">
      <c r="B49" s="281" t="s">
        <v>223</v>
      </c>
      <c r="C49" s="282" t="s">
        <v>224</v>
      </c>
      <c r="D49" s="283"/>
      <c r="E49" s="283"/>
      <c r="F49" s="283"/>
      <c r="G49" s="283"/>
      <c r="H49" s="135" t="s">
        <v>225</v>
      </c>
      <c r="I49" s="134" t="s">
        <v>160</v>
      </c>
      <c r="J49" s="135" t="s">
        <v>161</v>
      </c>
      <c r="K49" s="136" t="s">
        <v>226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>
      <c r="B50" s="143" t="s">
        <v>227</v>
      </c>
      <c r="C50" s="144"/>
      <c r="D50" s="145"/>
      <c r="E50" s="145"/>
      <c r="F50" s="145"/>
      <c r="G50" s="145"/>
      <c r="H50" s="268"/>
      <c r="I50" s="148">
        <f>SUM(I51:I54)</f>
        <v>26312</v>
      </c>
      <c r="J50" s="149">
        <f>SUM(J51:J54)</f>
        <v>0</v>
      </c>
      <c r="K50" s="150">
        <f>SUM(K51:K54)</f>
        <v>26312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6.899999999999999" customHeight="1" outlineLevel="2">
      <c r="B51" s="287" t="s">
        <v>228</v>
      </c>
      <c r="C51" s="288" t="s">
        <v>229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6864</v>
      </c>
      <c r="J51" s="167">
        <f>'Budget détaillé'!J51</f>
        <v>0</v>
      </c>
      <c r="K51" s="168">
        <f>'Budget détaillé'!K51</f>
        <v>6864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>
      <c r="B52" s="287" t="s">
        <v>230</v>
      </c>
      <c r="C52" s="294" t="s">
        <v>231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15576</v>
      </c>
      <c r="J52" s="167">
        <f>'Budget détaillé'!J52</f>
        <v>0</v>
      </c>
      <c r="K52" s="168">
        <f>'Budget détaillé'!K52</f>
        <v>15576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>
      <c r="B53" s="287" t="s">
        <v>232</v>
      </c>
      <c r="C53" s="115" t="s">
        <v>233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1980</v>
      </c>
      <c r="J53" s="167">
        <f>'Budget détaillé'!J53</f>
        <v>0</v>
      </c>
      <c r="K53" s="168">
        <f>'Budget détaillé'!K53</f>
        <v>1980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>
      <c r="B54" s="287" t="s">
        <v>234</v>
      </c>
      <c r="C54" s="115" t="s">
        <v>235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1892</v>
      </c>
      <c r="J54" s="167">
        <f>'Budget détaillé'!J54</f>
        <v>0</v>
      </c>
      <c r="K54" s="168">
        <f>'Budget détaillé'!K54</f>
        <v>1892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>
      <c r="B55" s="143" t="s">
        <v>236</v>
      </c>
      <c r="C55" s="144"/>
      <c r="D55" s="145"/>
      <c r="E55" s="145"/>
      <c r="F55" s="145"/>
      <c r="G55" s="145"/>
      <c r="H55" s="268"/>
      <c r="I55" s="148">
        <f>SUM(I56:I58)</f>
        <v>21208</v>
      </c>
      <c r="J55" s="149">
        <f>SUM(J56:J58)</f>
        <v>0</v>
      </c>
      <c r="K55" s="150">
        <f>SUM(K56:K58)</f>
        <v>21208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>
      <c r="B56" s="97" t="s">
        <v>237</v>
      </c>
      <c r="C56" s="248" t="s">
        <v>238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4884</v>
      </c>
      <c r="J56" s="167">
        <f>'Budget détaillé'!J56</f>
        <v>0</v>
      </c>
      <c r="K56" s="168">
        <f>'Budget détaillé'!K56</f>
        <v>4884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>
      <c r="B57" s="97" t="s">
        <v>239</v>
      </c>
      <c r="C57" s="248" t="s">
        <v>240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12100</v>
      </c>
      <c r="J57" s="167">
        <f>'Budget détaillé'!J57</f>
        <v>0</v>
      </c>
      <c r="K57" s="168">
        <f>'Budget détaillé'!K57</f>
        <v>12100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>
      <c r="B58" s="97" t="s">
        <v>241</v>
      </c>
      <c r="C58" s="248" t="s">
        <v>242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4224</v>
      </c>
      <c r="J58" s="167">
        <f>'Budget détaillé'!J58</f>
        <v>0</v>
      </c>
      <c r="K58" s="168">
        <f>'Budget détaillé'!K58</f>
        <v>4224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>
      <c r="B59" s="143" t="s">
        <v>243</v>
      </c>
      <c r="C59" s="144"/>
      <c r="D59" s="145"/>
      <c r="E59" s="145"/>
      <c r="F59" s="145"/>
      <c r="G59" s="145"/>
      <c r="H59" s="268"/>
      <c r="I59" s="148">
        <f>I50+I55</f>
        <v>47520</v>
      </c>
      <c r="J59" s="149">
        <f>J50+J55</f>
        <v>0</v>
      </c>
      <c r="K59" s="150">
        <f>K50+K55</f>
        <v>47520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0.30315789473684213</v>
      </c>
      <c r="R59" s="300" t="s">
        <v>168</v>
      </c>
      <c r="S59" s="301">
        <f>IF((K59+K46)=0,0,K59/(K59+K46))</f>
        <v>0.5592068488717602</v>
      </c>
      <c r="T59" s="153" t="s">
        <v>244</v>
      </c>
      <c r="U59" s="70"/>
    </row>
    <row r="60" spans="1:22" ht="21" customHeight="1" thickBot="1">
      <c r="A60" s="73"/>
      <c r="B60" s="274"/>
      <c r="C60" s="302"/>
      <c r="D60" s="302"/>
      <c r="E60" s="276"/>
      <c r="F60" s="276"/>
      <c r="G60" s="276"/>
      <c r="H60" s="74" t="s">
        <v>245</v>
      </c>
      <c r="I60" s="267">
        <f>IF(E7=0,0,I59/E7)</f>
        <v>2160</v>
      </c>
      <c r="J60" s="267">
        <f>IF((E7-E8)=0,0,J59/(E7-E8))</f>
        <v>0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>
      <c r="B62" s="309" t="s">
        <v>246</v>
      </c>
      <c r="C62" s="309"/>
      <c r="D62" s="310"/>
      <c r="E62" s="311"/>
      <c r="F62" s="310"/>
      <c r="G62" s="312"/>
      <c r="H62" s="313"/>
      <c r="I62" s="314">
        <f>I59+I46</f>
        <v>84977.5</v>
      </c>
      <c r="J62" s="314">
        <f>J59+J46</f>
        <v>0</v>
      </c>
      <c r="K62" s="315">
        <f>K59+K46</f>
        <v>84977.5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0.54212121212121211</v>
      </c>
      <c r="R62" s="153" t="s">
        <v>168</v>
      </c>
      <c r="U62" s="121"/>
      <c r="V62" s="121"/>
    </row>
    <row r="63" spans="1:22" s="121" customFormat="1" ht="18.75" customHeight="1">
      <c r="B63" s="208"/>
      <c r="C63" s="289"/>
      <c r="D63" s="316"/>
      <c r="E63" s="316"/>
      <c r="F63" s="316"/>
      <c r="G63" s="317"/>
      <c r="H63" s="317" t="s">
        <v>247</v>
      </c>
      <c r="I63" s="318">
        <f>IF(E7=0,0,I62/$E$7)</f>
        <v>3862.6136363636365</v>
      </c>
      <c r="J63" s="319">
        <f>IF(($E$7-$E$8)=0,0,J62/($E$7-$E$8))</f>
        <v>0</v>
      </c>
      <c r="K63" s="320">
        <f>IF(E8=0,0,K62/$E$8)</f>
        <v>3862.6136363636365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>
      <c r="B64" s="220"/>
      <c r="C64" s="323"/>
      <c r="D64" s="324"/>
      <c r="E64" s="324"/>
      <c r="F64" s="324"/>
      <c r="G64" s="325"/>
      <c r="H64" s="325" t="s">
        <v>248</v>
      </c>
      <c r="I64" s="258">
        <f t="shared" ref="I64:P64" si="29">IF(I33=0,0,I62/I33)</f>
        <v>130.23371647509578</v>
      </c>
      <c r="J64" s="258">
        <f t="shared" si="29"/>
        <v>0</v>
      </c>
      <c r="K64" s="258">
        <f t="shared" si="29"/>
        <v>130.23371647509578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4.45" thickBot="1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>
      <c r="B66" s="504" t="s">
        <v>249</v>
      </c>
      <c r="C66" s="505"/>
      <c r="D66" s="505"/>
      <c r="E66" s="505"/>
      <c r="F66" s="505"/>
      <c r="G66" s="505"/>
      <c r="H66" s="505"/>
      <c r="I66" s="505"/>
      <c r="J66" s="505"/>
      <c r="K66" s="495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5.9" thickBot="1">
      <c r="B68" s="281" t="s">
        <v>250</v>
      </c>
      <c r="C68" s="282" t="s">
        <v>251</v>
      </c>
      <c r="D68" s="283"/>
      <c r="E68" s="283"/>
      <c r="F68" s="283"/>
      <c r="G68" s="283"/>
      <c r="H68" s="332"/>
      <c r="I68" s="333" t="s">
        <v>160</v>
      </c>
      <c r="J68" s="135" t="s">
        <v>161</v>
      </c>
      <c r="K68" s="136" t="s">
        <v>226</v>
      </c>
      <c r="L68" s="284" t="s">
        <v>163</v>
      </c>
      <c r="M68" s="134" t="s">
        <v>164</v>
      </c>
      <c r="N68" s="134" t="s">
        <v>165</v>
      </c>
      <c r="O68" s="334" t="s">
        <v>166</v>
      </c>
      <c r="P68" s="335" t="s">
        <v>0</v>
      </c>
      <c r="Q68" s="285"/>
      <c r="R68" s="142"/>
      <c r="U68" s="73"/>
      <c r="V68" s="73"/>
    </row>
    <row r="69" spans="2:24" ht="24" customHeight="1">
      <c r="B69" s="236" t="s">
        <v>252</v>
      </c>
      <c r="C69" s="288" t="s">
        <v>253</v>
      </c>
      <c r="D69" s="336"/>
      <c r="E69" s="336"/>
      <c r="F69" s="336"/>
      <c r="G69" s="336"/>
      <c r="H69" s="337"/>
      <c r="I69" s="338">
        <f>J69+K69</f>
        <v>156750</v>
      </c>
      <c r="J69" s="338">
        <f>'Recettes et simulat'!G16</f>
        <v>0</v>
      </c>
      <c r="K69" s="339">
        <f>'Recettes et simulat'!J28</f>
        <v>156750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>
      <c r="B70" s="253" t="s">
        <v>254</v>
      </c>
      <c r="C70" s="254" t="s">
        <v>255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>
      <c r="B72" s="309" t="s">
        <v>256</v>
      </c>
      <c r="C72" s="309"/>
      <c r="D72" s="310"/>
      <c r="E72" s="311"/>
      <c r="F72" s="310"/>
      <c r="G72" s="312"/>
      <c r="H72" s="313"/>
      <c r="I72" s="314">
        <f>I69+I70</f>
        <v>156750</v>
      </c>
      <c r="J72" s="314">
        <f>J69+J70</f>
        <v>0</v>
      </c>
      <c r="K72" s="315">
        <f>K69+K70</f>
        <v>156750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>
      <c r="B73" s="274"/>
      <c r="C73" s="302"/>
      <c r="D73" s="355"/>
      <c r="E73" s="355"/>
      <c r="F73" s="355"/>
      <c r="G73" s="356"/>
      <c r="H73" s="356" t="s">
        <v>257</v>
      </c>
      <c r="I73" s="357"/>
      <c r="J73" s="357"/>
      <c r="K73" s="358">
        <f>IF(E8=0,0,K72/$E$8)</f>
        <v>7125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4.45" thickBot="1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>
      <c r="B75" s="309" t="s">
        <v>258</v>
      </c>
      <c r="C75" s="309"/>
      <c r="D75" s="310"/>
      <c r="E75" s="311"/>
      <c r="F75" s="310"/>
      <c r="G75" s="312"/>
      <c r="H75" s="313"/>
      <c r="I75" s="314">
        <f t="shared" ref="I75:P75" si="31">I72-I62</f>
        <v>71772.5</v>
      </c>
      <c r="J75" s="314">
        <f t="shared" si="31"/>
        <v>0</v>
      </c>
      <c r="K75" s="315">
        <f t="shared" si="31"/>
        <v>71772.5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0.45787878787878789</v>
      </c>
      <c r="R75" s="153" t="s">
        <v>168</v>
      </c>
      <c r="U75" s="121"/>
      <c r="V75" s="121"/>
      <c r="X75" s="69"/>
    </row>
    <row r="76" spans="2:24" ht="13.9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E1252F-4C3C-425D-AA81-32E20E9FBF8C}"/>
</file>

<file path=customXml/itemProps2.xml><?xml version="1.0" encoding="utf-8"?>
<ds:datastoreItem xmlns:ds="http://schemas.openxmlformats.org/officeDocument/2006/customXml" ds:itemID="{BD73C351-4063-4F52-AEE7-F4B861993FDF}"/>
</file>

<file path=customXml/itemProps3.xml><?xml version="1.0" encoding="utf-8"?>
<ds:datastoreItem xmlns:ds="http://schemas.openxmlformats.org/officeDocument/2006/customXml" ds:itemID="{8A98E34E-358E-443D-9A1B-BBAABD47E4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Florence Feutrie</cp:lastModifiedBy>
  <cp:revision/>
  <dcterms:created xsi:type="dcterms:W3CDTF">2001-05-25T13:39:11Z</dcterms:created>
  <dcterms:modified xsi:type="dcterms:W3CDTF">2022-04-06T09:06:07Z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