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IETL\2-ADMINISTRATION\Accréditation 2021-2025\Accréditation-octobre2021\Matrices\"/>
    </mc:Choice>
  </mc:AlternateContent>
  <xr:revisionPtr revIDLastSave="3" documentId="11_89520B7D467039014FE6EE8235017CD4AB32585D" xr6:coauthVersionLast="47" xr6:coauthVersionMax="47" xr10:uidLastSave="{EE1D862D-1C70-4738-BB04-F6C229F88DE3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3040" windowHeight="9195" firstSheet="1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definedNames>
    <definedName name="_xlnm.Print_Area" localSheetId="2">'Budget détaillé'!$A$1:$T$77</definedName>
    <definedName name="_xlnm.Print_Area" localSheetId="0">Enseignements!$A$1:$Y$48</definedName>
    <definedName name="_xlnm.Print_Area" localSheetId="1">'Recettes et simulat'!$A$1:$M$39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6" i="39" l="1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R89" i="39"/>
  <c r="X48" i="39"/>
  <c r="R48" i="39" l="1"/>
  <c r="R90" i="39" l="1"/>
  <c r="X7" i="39"/>
  <c r="G19" i="41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S57" i="39" s="1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Q37" i="39" s="1"/>
  <c r="S37" i="39" s="1"/>
  <c r="P36" i="39"/>
  <c r="Q36" i="39" s="1"/>
  <c r="S36" i="39" s="1"/>
  <c r="P35" i="39"/>
  <c r="Q35" i="39" s="1"/>
  <c r="S35" i="39" s="1"/>
  <c r="P34" i="39"/>
  <c r="Q34" i="39" s="1"/>
  <c r="S34" i="39" s="1"/>
  <c r="P33" i="39"/>
  <c r="Q33" i="39" s="1"/>
  <c r="S33" i="39" s="1"/>
  <c r="P32" i="39"/>
  <c r="Q32" i="39" s="1"/>
  <c r="S32" i="39" s="1"/>
  <c r="P31" i="39"/>
  <c r="Q31" i="39" s="1"/>
  <c r="S31" i="39" s="1"/>
  <c r="P30" i="39"/>
  <c r="Q30" i="39" s="1"/>
  <c r="S30" i="39" s="1"/>
  <c r="P29" i="39"/>
  <c r="Q29" i="39" s="1"/>
  <c r="S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S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S60" i="39"/>
  <c r="S59" i="39"/>
  <c r="S58" i="39"/>
  <c r="S56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 s="1"/>
  <c r="Q89" i="39" l="1"/>
  <c r="S54" i="39"/>
  <c r="S89" i="39" s="1"/>
  <c r="T10" i="39"/>
  <c r="Q48" i="39"/>
  <c r="S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S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P46" i="42"/>
  <c r="P62" i="42" s="1"/>
  <c r="L75" i="42"/>
  <c r="N62" i="42"/>
  <c r="N75" i="42"/>
  <c r="O75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E7" i="40" s="1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G28" i="40" l="1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K29" i="41" l="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J36" i="41" l="1"/>
  <c r="J36" i="42" s="1"/>
  <c r="P62" i="41"/>
  <c r="P75" i="41" s="1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K35" i="42" l="1"/>
  <c r="K45" i="42" s="1"/>
  <c r="K72" i="41"/>
  <c r="J51" i="41"/>
  <c r="J51" i="42" s="1"/>
  <c r="J35" i="42"/>
  <c r="J45" i="42" s="1"/>
  <c r="J35" i="41"/>
  <c r="J45" i="41" s="1"/>
  <c r="K73" i="41"/>
  <c r="Q35" i="41"/>
  <c r="Q35" i="42" l="1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C51" i="39"/>
  <c r="AD51" i="39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T59" i="39"/>
  <c r="Y59" i="39" s="1"/>
  <c r="AD59" i="39"/>
  <c r="AC59" i="39" s="1"/>
  <c r="T60" i="39"/>
  <c r="AC60" i="39"/>
  <c r="AD60" i="39"/>
  <c r="T61" i="39"/>
  <c r="AC61" i="39"/>
  <c r="AD61" i="39"/>
  <c r="T62" i="39"/>
  <c r="AC62" i="39"/>
  <c r="AD62" i="39"/>
  <c r="AD34" i="39"/>
  <c r="AC34" i="39"/>
  <c r="T34" i="39"/>
  <c r="AD33" i="39"/>
  <c r="AC33" i="39"/>
  <c r="T33" i="39"/>
  <c r="AD37" i="39"/>
  <c r="AC37" i="39" s="1"/>
  <c r="T37" i="39"/>
  <c r="AD36" i="39"/>
  <c r="AC36" i="39" s="1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D30" i="39"/>
  <c r="AC30" i="39" s="1"/>
  <c r="AD38" i="39"/>
  <c r="AC38" i="39" s="1"/>
  <c r="AD39" i="39"/>
  <c r="AC39" i="39" s="1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J3" i="39" l="1"/>
  <c r="K3" i="39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1" l="1"/>
  <c r="G17" i="42" s="1"/>
  <c r="I17" i="42" s="1"/>
  <c r="G22" i="41"/>
  <c r="H22" i="41" s="1"/>
  <c r="I22" i="41" s="1"/>
  <c r="K22" i="41" s="1"/>
  <c r="V48" i="39"/>
  <c r="V7" i="39" s="1"/>
  <c r="G25" i="41"/>
  <c r="H25" i="41" s="1"/>
  <c r="I25" i="41" s="1"/>
  <c r="K25" i="41" s="1"/>
  <c r="W48" i="39"/>
  <c r="Y18" i="39"/>
  <c r="H23" i="41"/>
  <c r="I23" i="41" s="1"/>
  <c r="K23" i="41" s="1"/>
  <c r="G23" i="42"/>
  <c r="H23" i="42" s="1"/>
  <c r="I23" i="42" s="1"/>
  <c r="K23" i="42" s="1"/>
  <c r="J23" i="42" s="1"/>
  <c r="Q23" i="42" s="1"/>
  <c r="V23" i="42" s="1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17" i="41" l="1"/>
  <c r="K17" i="41" s="1"/>
  <c r="J17" i="41" s="1"/>
  <c r="Q17" i="41" s="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J23" i="41"/>
  <c r="Q23" i="41" s="1"/>
  <c r="T23" i="42"/>
  <c r="U23" i="42"/>
  <c r="S23" i="42"/>
  <c r="J22" i="41"/>
  <c r="Q22" i="41" s="1"/>
  <c r="R23" i="42"/>
  <c r="J25" i="41"/>
  <c r="Q25" i="41" s="1"/>
  <c r="S22" i="42" l="1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T11" i="39"/>
  <c r="AD10" i="39"/>
  <c r="AC10" i="39" s="1"/>
  <c r="AC11" i="39" l="1"/>
  <c r="Y11" i="39"/>
  <c r="G26" i="41"/>
  <c r="G24" i="41"/>
  <c r="H24" i="41" s="1"/>
  <c r="T71" i="39"/>
  <c r="T70" i="39"/>
  <c r="T69" i="39"/>
  <c r="AD49" i="39"/>
  <c r="AC49" i="39" l="1"/>
  <c r="I24" i="41"/>
  <c r="G24" i="42"/>
  <c r="G27" i="41"/>
  <c r="G26" i="42"/>
  <c r="H26" i="42" s="1"/>
  <c r="I26" i="42" s="1"/>
  <c r="K26" i="42" s="1"/>
  <c r="K27" i="42" s="1"/>
  <c r="Q27" i="42" s="1"/>
  <c r="H26" i="41"/>
  <c r="I26" i="41" s="1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K26" i="41"/>
  <c r="K27" i="41" s="1"/>
  <c r="S26" i="42"/>
  <c r="U26" i="42"/>
  <c r="T26" i="42"/>
  <c r="R26" i="42"/>
  <c r="J26" i="42"/>
  <c r="Q26" i="42" s="1"/>
  <c r="V26" i="42" s="1"/>
  <c r="H24" i="42"/>
  <c r="I24" i="42" s="1"/>
  <c r="G27" i="42"/>
  <c r="J24" i="41"/>
  <c r="Q24" i="41" s="1"/>
  <c r="I27" i="41"/>
  <c r="AC50" i="39"/>
  <c r="AC89" i="39" s="1"/>
  <c r="H89" i="39" s="1"/>
  <c r="Q7" i="39"/>
  <c r="T28" i="39"/>
  <c r="I4" i="39" l="1"/>
  <c r="H4" i="39" s="1"/>
  <c r="I3" i="39"/>
  <c r="H3" i="39" s="1"/>
  <c r="AC48" i="39"/>
  <c r="H48" i="39" s="1"/>
  <c r="H90" i="39" s="1"/>
  <c r="S7" i="39"/>
  <c r="Q27" i="41"/>
  <c r="J26" i="41"/>
  <c r="Q26" i="41" s="1"/>
  <c r="H27" i="41"/>
  <c r="Q24" i="42"/>
  <c r="S24" i="42"/>
  <c r="T24" i="42"/>
  <c r="I27" i="42"/>
  <c r="J24" i="42"/>
  <c r="J27" i="42" s="1"/>
  <c r="R24" i="42"/>
  <c r="U24" i="42"/>
  <c r="T50" i="39"/>
  <c r="Y50" i="39" s="1"/>
  <c r="T9" i="39"/>
  <c r="T49" i="39"/>
  <c r="W89" i="39" l="1"/>
  <c r="W7" i="39" s="1"/>
  <c r="Y49" i="39"/>
  <c r="Y89" i="39" s="1"/>
  <c r="G18" i="41"/>
  <c r="T48" i="39"/>
  <c r="Y9" i="39"/>
  <c r="Y48" i="39" s="1"/>
  <c r="T89" i="39"/>
  <c r="H27" i="42"/>
  <c r="J27" i="41"/>
  <c r="V24" i="42"/>
  <c r="Y7" i="39" l="1"/>
  <c r="I18" i="41"/>
  <c r="K18" i="41" s="1"/>
  <c r="J18" i="41" s="1"/>
  <c r="Q18" i="41" s="1"/>
  <c r="G18" i="42"/>
  <c r="I18" i="42" s="1"/>
  <c r="T90" i="39"/>
  <c r="G16" i="41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U18" i="42" l="1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16" i="42" l="1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16" i="41" l="1"/>
  <c r="J20" i="41" s="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Q16" i="41" l="1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K60" i="42" l="1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Q46" i="42"/>
  <c r="I47" i="42"/>
  <c r="I62" i="42"/>
  <c r="I64" i="41"/>
  <c r="I75" i="41"/>
  <c r="I63" i="41"/>
  <c r="I33" i="42"/>
  <c r="K47" i="41"/>
  <c r="Q46" i="41"/>
  <c r="K62" i="41"/>
  <c r="S59" i="41"/>
  <c r="K62" i="42" l="1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<sst xmlns="http://schemas.openxmlformats.org/spreadsheetml/2006/main" count="628" uniqueCount="319">
  <si>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</si>
  <si>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</si>
  <si>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</si>
  <si>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</si>
  <si>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</si>
  <si>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</si>
  <si>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</si>
  <si>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</si>
  <si>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</si>
  <si>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</si>
  <si>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</si>
  <si>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</si>
  <si>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</si>
  <si>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</si>
  <si>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</si>
  <si>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</si>
  <si>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</si>
  <si>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</si>
  <si>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</si>
  <si>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</si>
  <si>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</si>
  <si>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</si>
  <si>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</si>
  <si>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</si>
  <si>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</si>
  <si>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</si>
  <si>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</si>
  <si>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</si>
  <si>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</si>
  <si>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</si>
  <si>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</si>
  <si>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</si>
  <si>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</si>
  <si>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 xml:space="preserve">Les régimes autres que le régime général </t>
  </si>
  <si>
    <t>ALT</t>
  </si>
  <si>
    <t>Obligatoire</t>
  </si>
  <si>
    <t>CM</t>
  </si>
  <si>
    <t>Non</t>
  </si>
  <si>
    <t>EP1.1B</t>
  </si>
  <si>
    <t xml:space="preserve">L'organisation politique de la sécurité sociale et prise en charge des risques </t>
  </si>
  <si>
    <t>EP1.1C</t>
  </si>
  <si>
    <t xml:space="preserve">Le statut du personnel des organismes de sécurité sociale </t>
  </si>
  <si>
    <t>TD</t>
  </si>
  <si>
    <t>EP1.1D</t>
  </si>
  <si>
    <t>Analyse et traitement de dossiers</t>
  </si>
  <si>
    <t>EP1.2A</t>
  </si>
  <si>
    <t>La protection sociale interne à l'entreprise</t>
  </si>
  <si>
    <t>Mut+ext</t>
  </si>
  <si>
    <t>parcours juriste en droit social</t>
  </si>
  <si>
    <t>EP1.2B</t>
  </si>
  <si>
    <t>Les institutions de protection sociale complémentaire</t>
  </si>
  <si>
    <t>EP1.2C</t>
  </si>
  <si>
    <t>La pratique de la négociation de la protection sociale complémentaire</t>
  </si>
  <si>
    <t>EP1.2D</t>
  </si>
  <si>
    <t xml:space="preserve">Contentieux de la prévoyance </t>
  </si>
  <si>
    <t>EP1.2E</t>
  </si>
  <si>
    <t>EP1.3A</t>
  </si>
  <si>
    <t>Rémunération et gestion de la paie</t>
  </si>
  <si>
    <t>EP1.3B</t>
  </si>
  <si>
    <t>Les rapports entre l'entreprise et les organismes de sécurité sociale</t>
  </si>
  <si>
    <t>EP1.3C</t>
  </si>
  <si>
    <t>Pratique du contrôle et du redressement URSSAF</t>
  </si>
  <si>
    <t>EP1.3D</t>
  </si>
  <si>
    <t>EP1.4A</t>
  </si>
  <si>
    <t>Prévention et gestion des risques professionnels</t>
  </si>
  <si>
    <t>EP1.4B</t>
  </si>
  <si>
    <t>L'employeur face à la réalisation du risque (tarification et recours de l'employeur suite à AT/MP)</t>
  </si>
  <si>
    <t>EP1.4C</t>
  </si>
  <si>
    <t>La perte de l'emploi</t>
  </si>
  <si>
    <t>EP1.4D</t>
  </si>
  <si>
    <t>EP1.5A</t>
  </si>
  <si>
    <t xml:space="preserve">Droit et pratique du contentieux du travail </t>
  </si>
  <si>
    <t>EP1.5B</t>
  </si>
  <si>
    <t>Droit et pratique du contentieux de la sécurité sociale</t>
  </si>
  <si>
    <t>EP1.5C</t>
  </si>
  <si>
    <t>Le contentieux médical de la sécurité sociale</t>
  </si>
  <si>
    <t>EP1.5D</t>
  </si>
  <si>
    <t>Lutte contre les fraudes (cotisations, prestations)</t>
  </si>
  <si>
    <t>EP1.5E</t>
  </si>
  <si>
    <t>Les contentieux autres (chômage)</t>
  </si>
  <si>
    <t>EP1.5F</t>
  </si>
  <si>
    <t>Droit et pratique de la médiation</t>
  </si>
  <si>
    <t>EP1.5G</t>
  </si>
  <si>
    <t>Recours en cas d'atteinte à l'intégrité physique</t>
  </si>
  <si>
    <t>EP1.5H</t>
  </si>
  <si>
    <t>EP1.6A</t>
  </si>
  <si>
    <t xml:space="preserve">Les principes de la protection sociale internationale </t>
  </si>
  <si>
    <t>EP1.7A</t>
  </si>
  <si>
    <t>Anglais</t>
  </si>
  <si>
    <t>EP2.1A</t>
  </si>
  <si>
    <t>Méthodologie de la recherche</t>
  </si>
  <si>
    <t>EP2.1B</t>
  </si>
  <si>
    <t>Retour d'expérience</t>
  </si>
  <si>
    <t>EP2.1C</t>
  </si>
  <si>
    <t>Alternance et rapport d'activité</t>
  </si>
  <si>
    <t>ALTSUIV</t>
  </si>
  <si>
    <t>EP2.1D</t>
  </si>
  <si>
    <t>Suivi de l'alternance</t>
  </si>
  <si>
    <t>EP2.1E</t>
  </si>
  <si>
    <t>Mémoire</t>
  </si>
  <si>
    <t>MEMSUIV</t>
  </si>
  <si>
    <t>Semestre 2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</si>
  <si>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</si>
  <si>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</si>
  <si>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</si>
  <si>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</si>
  <si>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</si>
  <si>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</si>
  <si>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Nom de la formation</t>
  </si>
  <si>
    <t>M2 Droit social
 INGENIERIE DE LA PROTECTION SOCIALE</t>
  </si>
  <si>
    <t xml:space="preserve">Nombre d'inscrits total
</t>
  </si>
  <si>
    <t>Composante</t>
  </si>
  <si>
    <t>IETL - Institut d'Etudes du Travail de Lyon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</si>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</sst>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13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3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5" xfId="10" applyFont="1" applyFill="1" applyBorder="1" applyAlignment="1">
      <alignment vertical="center"/>
    </xf>
    <xf numFmtId="0" fontId="16" fillId="2" borderId="4" xfId="10" applyFont="1" applyFill="1" applyBorder="1" applyAlignment="1" applyProtection="1">
      <alignment horizontal="left" vertical="center"/>
      <protection locked="0"/>
    </xf>
    <xf numFmtId="0" fontId="16" fillId="11" borderId="4" xfId="10" applyFont="1" applyFill="1" applyBorder="1" applyAlignment="1" applyProtection="1">
      <alignment horizontal="left" vertical="center"/>
      <protection locked="0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21" xfId="10" applyFont="1" applyFill="1" applyBorder="1" applyAlignment="1" applyProtection="1">
      <alignment horizontal="left" vertical="center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17" fillId="2" borderId="21" xfId="10" applyFont="1" applyFill="1" applyBorder="1" applyAlignment="1" applyProtection="1">
      <alignment horizontal="center" vertical="center"/>
      <protection locked="0"/>
    </xf>
    <xf numFmtId="0" fontId="12" fillId="0" borderId="6" xfId="9" applyNumberFormat="1" applyFont="1" applyBorder="1" applyAlignment="1" applyProtection="1">
      <alignment horizontal="center" vertical="center"/>
      <protection locked="0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3" fontId="7" fillId="8" borderId="3" xfId="0" applyNumberFormat="1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88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91"/>
  <sheetViews>
    <sheetView zoomScale="70" zoomScaleNormal="70" workbookViewId="0">
      <pane xSplit="3" ySplit="7" topLeftCell="D8" activePane="bottomRight" state="frozen"/>
      <selection pane="bottomRight" activeCell="J29" sqref="J29"/>
      <selection pane="bottomLeft" activeCell="A7" sqref="A7"/>
      <selection pane="topRight" activeCell="D1" sqref="D1"/>
    </sheetView>
  </sheetViews>
  <sheetFormatPr defaultColWidth="11.5703125" defaultRowHeight="15.75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5">
      <c r="A2" s="10"/>
      <c r="H2" s="393" t="s">
        <v>0</v>
      </c>
      <c r="I2" s="391" t="s">
        <v>1</v>
      </c>
      <c r="J2" s="392" t="s">
        <v>2</v>
      </c>
      <c r="K2" s="391" t="s">
        <v>3</v>
      </c>
      <c r="L2" s="391" t="s">
        <v>4</v>
      </c>
      <c r="M2" s="402"/>
    </row>
    <row r="3" spans="1:30" ht="18" customHeight="1">
      <c r="A3" s="10"/>
      <c r="G3" s="25" t="s">
        <v>5</v>
      </c>
      <c r="H3" s="390">
        <f>SUM(I3:L3)</f>
        <v>0</v>
      </c>
      <c r="I3" s="39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0</v>
      </c>
      <c r="J3" s="395">
        <f>SUMIF($G$8:$G$88,Paramétrage!$D$9,$AC$8:$AC$88)</f>
        <v>0</v>
      </c>
      <c r="K3" s="395">
        <f>SUMIFS($AC$8:$AC$88,$G$8:$G$88,Paramétrage!$D$15,Enseignements!$D$8:$D$88,"mixte")+SUMIFS($AC$8:$AC$88,$G$8:$G$88,Paramétrage!$D$15,Enseignements!$D$8:$D$88,"FI/FC")</f>
        <v>0</v>
      </c>
      <c r="L3" s="39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02"/>
    </row>
    <row r="4" spans="1:30" ht="18" customHeight="1">
      <c r="A4" s="10"/>
      <c r="G4" s="25" t="s">
        <v>6</v>
      </c>
      <c r="H4" s="390">
        <f>SUM(I4:L4)</f>
        <v>852</v>
      </c>
      <c r="I4" s="39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402</v>
      </c>
      <c r="J4" s="395">
        <f>SUMIF($G$8:$G$88,Paramétrage!$D$12,$AC$8:$AC$88)</f>
        <v>450</v>
      </c>
      <c r="K4" s="395">
        <f>SUMIFS($AC$8:$AC$88,$G$8:$G$88,Paramétrage!$D$15,Enseignements!$D$8:$D$88,"mixte")+SUMIFS($AC$8:$AC$88,$G$8:$G$88,Paramétrage!$D$15,Enseignements!$D$8:$D$88,"ALT")</f>
        <v>0</v>
      </c>
      <c r="L4" s="39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02"/>
      <c r="W4" s="394"/>
    </row>
    <row r="5" spans="1:30" ht="6.6" customHeight="1" thickBot="1">
      <c r="A5" s="10"/>
      <c r="B5" s="10"/>
    </row>
    <row r="6" spans="1:30" ht="68.45" customHeight="1">
      <c r="A6" s="12"/>
      <c r="B6" s="435" t="s">
        <v>7</v>
      </c>
      <c r="C6" s="439" t="s">
        <v>8</v>
      </c>
      <c r="D6" s="439" t="s">
        <v>9</v>
      </c>
      <c r="E6" s="441" t="s">
        <v>10</v>
      </c>
      <c r="F6" s="439" t="s">
        <v>11</v>
      </c>
      <c r="G6" s="427" t="s">
        <v>12</v>
      </c>
      <c r="H6" s="427" t="s">
        <v>13</v>
      </c>
      <c r="I6" s="441" t="s">
        <v>14</v>
      </c>
      <c r="J6" s="445" t="s">
        <v>15</v>
      </c>
      <c r="K6" s="437" t="s">
        <v>16</v>
      </c>
      <c r="L6" s="443" t="s">
        <v>17</v>
      </c>
      <c r="M6" s="443"/>
      <c r="N6" s="443"/>
      <c r="O6" s="418"/>
      <c r="P6" s="42" t="s">
        <v>18</v>
      </c>
      <c r="Q6" s="42" t="s">
        <v>19</v>
      </c>
      <c r="R6" s="13" t="s">
        <v>20</v>
      </c>
      <c r="S6" s="13" t="s">
        <v>21</v>
      </c>
      <c r="T6" s="66" t="s">
        <v>22</v>
      </c>
      <c r="U6" s="359" t="s">
        <v>23</v>
      </c>
      <c r="V6" s="360" t="s">
        <v>24</v>
      </c>
      <c r="W6" s="360" t="s">
        <v>25</v>
      </c>
      <c r="X6" s="360" t="s">
        <v>26</v>
      </c>
      <c r="Y6" s="361" t="s">
        <v>27</v>
      </c>
      <c r="Z6" s="447" t="s">
        <v>28</v>
      </c>
      <c r="AA6" s="443"/>
      <c r="AB6" s="418"/>
      <c r="AC6" s="432" t="s">
        <v>29</v>
      </c>
      <c r="AD6" s="418" t="s">
        <v>30</v>
      </c>
    </row>
    <row r="7" spans="1:30" ht="16.5" thickBot="1">
      <c r="A7" s="12"/>
      <c r="B7" s="436"/>
      <c r="C7" s="440"/>
      <c r="D7" s="440"/>
      <c r="E7" s="442"/>
      <c r="F7" s="440"/>
      <c r="G7" s="428"/>
      <c r="H7" s="428"/>
      <c r="I7" s="442"/>
      <c r="J7" s="446"/>
      <c r="K7" s="438"/>
      <c r="L7" s="444"/>
      <c r="M7" s="444"/>
      <c r="N7" s="444"/>
      <c r="O7" s="419"/>
      <c r="P7" s="404"/>
      <c r="Q7" s="14">
        <f t="shared" ref="Q7:Y7" si="0">Q48+Q89</f>
        <v>241</v>
      </c>
      <c r="R7" s="14">
        <f t="shared" si="0"/>
        <v>120</v>
      </c>
      <c r="S7" s="14">
        <f t="shared" si="0"/>
        <v>361</v>
      </c>
      <c r="T7" s="388">
        <f t="shared" si="0"/>
        <v>421.5</v>
      </c>
      <c r="U7" s="389">
        <f t="shared" si="0"/>
        <v>250</v>
      </c>
      <c r="V7" s="14">
        <f t="shared" si="0"/>
        <v>0</v>
      </c>
      <c r="W7" s="14">
        <f t="shared" si="0"/>
        <v>111</v>
      </c>
      <c r="X7" s="14">
        <f t="shared" si="0"/>
        <v>0</v>
      </c>
      <c r="Y7" s="14">
        <f t="shared" si="0"/>
        <v>361</v>
      </c>
      <c r="Z7" s="448"/>
      <c r="AA7" s="444"/>
      <c r="AB7" s="419"/>
      <c r="AC7" s="433"/>
      <c r="AD7" s="419"/>
    </row>
    <row r="8" spans="1:30" ht="15.6" customHeight="1">
      <c r="A8" s="429" t="s">
        <v>31</v>
      </c>
      <c r="B8" s="412" t="s">
        <v>32</v>
      </c>
      <c r="C8" s="410" t="s">
        <v>33</v>
      </c>
      <c r="D8" s="396" t="s">
        <v>34</v>
      </c>
      <c r="E8" s="48" t="s">
        <v>35</v>
      </c>
      <c r="F8" s="30">
        <v>1</v>
      </c>
      <c r="G8" s="31" t="s">
        <v>36</v>
      </c>
      <c r="H8" s="382">
        <v>30</v>
      </c>
      <c r="I8" s="37">
        <v>15</v>
      </c>
      <c r="J8" s="37">
        <v>15</v>
      </c>
      <c r="K8" s="417" t="s">
        <v>37</v>
      </c>
      <c r="L8" s="425"/>
      <c r="M8" s="425"/>
      <c r="N8" s="425"/>
      <c r="O8" s="426"/>
      <c r="P8" s="362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30</v>
      </c>
      <c r="R8" s="55"/>
      <c r="S8" s="15">
        <f>IF(OR(G8="",K8="Mut+ext"),0,IF(ISERROR(Q8+R8)=TRUE,Q8,Q8+R8))</f>
        <v>30</v>
      </c>
      <c r="T8" s="56">
        <f>IF(G8="",0,IF(ISERROR(R8+Q8*VLOOKUP(G8,Paramétrage!$D$6:$F$27,3,0))=TRUE,S8,R8+Q8*VLOOKUP(G8,Paramétrage!$D$6:$F$27,3,0)))</f>
        <v>45</v>
      </c>
      <c r="U8" s="37">
        <v>30</v>
      </c>
      <c r="V8" s="37"/>
      <c r="W8" s="37"/>
      <c r="X8" s="37"/>
      <c r="Y8" s="363">
        <f>SUM(U8:X8)</f>
        <v>30</v>
      </c>
      <c r="Z8" s="449"/>
      <c r="AA8" s="425"/>
      <c r="AB8" s="426"/>
      <c r="AC8" s="57">
        <f>IF(B8="",0,IF(E8="",0,IF(SUMIF(B8:B27,B8,I8:I27)=0,0,IF(E8="Obligatoire",AD8/I8,IF(F8="",AD8/SUMIF(B8:B27,B8,I8:I27),AD8/(SUMIF(B8:B27,B8,I8:I27)/F8))))))</f>
        <v>30</v>
      </c>
      <c r="AD8" s="58">
        <f>H8*I8</f>
        <v>450</v>
      </c>
    </row>
    <row r="9" spans="1:30">
      <c r="A9" s="430"/>
      <c r="B9" s="412" t="s">
        <v>38</v>
      </c>
      <c r="C9" s="410" t="s">
        <v>39</v>
      </c>
      <c r="D9" s="32" t="s">
        <v>34</v>
      </c>
      <c r="E9" s="48" t="s">
        <v>35</v>
      </c>
      <c r="F9" s="30">
        <v>1</v>
      </c>
      <c r="G9" s="31" t="s">
        <v>36</v>
      </c>
      <c r="H9" s="382">
        <v>12</v>
      </c>
      <c r="I9" s="37">
        <v>15</v>
      </c>
      <c r="J9" s="37">
        <v>15</v>
      </c>
      <c r="K9" s="34" t="s">
        <v>37</v>
      </c>
      <c r="L9" s="422"/>
      <c r="M9" s="422"/>
      <c r="N9" s="422"/>
      <c r="O9" s="423"/>
      <c r="P9" s="362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12</v>
      </c>
      <c r="R9" s="33"/>
      <c r="S9" s="15">
        <f t="shared" ref="S9:S70" si="1">IF(OR(G9="",K9="Mut+ext"),0,IF(ISERROR(Q9+R9)=TRUE,Q9,Q9+R9))</f>
        <v>12</v>
      </c>
      <c r="T9" s="28">
        <f>IF(G9="",0,IF(ISERROR(R9+Q9*VLOOKUP(G9,Paramétrage!$D$6:$F$27,3,0))=TRUE,S9,R9+Q9*VLOOKUP(G9,Paramétrage!$D$6:$F$27,3,0)))</f>
        <v>18</v>
      </c>
      <c r="U9" s="37"/>
      <c r="V9" s="37"/>
      <c r="W9" s="37">
        <v>12</v>
      </c>
      <c r="X9" s="37"/>
      <c r="Y9" s="363">
        <f t="shared" ref="Y9:Y27" si="2">SUM(U9:X9)</f>
        <v>12</v>
      </c>
      <c r="Z9" s="424"/>
      <c r="AA9" s="422"/>
      <c r="AB9" s="423"/>
      <c r="AC9" s="27">
        <f>IF(B9="",0,IF(E9="",0,IF(SUMIF(B8:B27,B9,I8:I27)=0,0,IF(E9="Obligatoire",AD9/I9,IF(F9="",AD9/SUMIF(B8:B27,B9,I8:I27),AD9/(SUMIF(B8:B27,B9,I8:I27)/F9))))))</f>
        <v>12</v>
      </c>
      <c r="AD9" s="16">
        <f>H9*I9</f>
        <v>180</v>
      </c>
    </row>
    <row r="10" spans="1:30">
      <c r="A10" s="430"/>
      <c r="B10" s="412" t="s">
        <v>40</v>
      </c>
      <c r="C10" s="410" t="s">
        <v>41</v>
      </c>
      <c r="D10" s="32" t="s">
        <v>34</v>
      </c>
      <c r="E10" s="48" t="s">
        <v>35</v>
      </c>
      <c r="F10" s="30">
        <v>1</v>
      </c>
      <c r="G10" s="31" t="s">
        <v>42</v>
      </c>
      <c r="H10" s="382">
        <v>15</v>
      </c>
      <c r="I10" s="37">
        <v>15</v>
      </c>
      <c r="J10" s="37">
        <v>15</v>
      </c>
      <c r="K10" s="34" t="s">
        <v>37</v>
      </c>
      <c r="L10" s="422"/>
      <c r="M10" s="422"/>
      <c r="N10" s="422"/>
      <c r="O10" s="423"/>
      <c r="P10" s="362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15</v>
      </c>
      <c r="R10" s="33"/>
      <c r="S10" s="15">
        <f t="shared" si="1"/>
        <v>15</v>
      </c>
      <c r="T10" s="28">
        <f>IF(G10="",0,IF(ISERROR(R10+Q10*VLOOKUP(G10,Paramétrage!$D$6:$F$27,3,0))=TRUE,S10,R10+Q10*VLOOKUP(G10,Paramétrage!$D$6:$F$27,3,0)))</f>
        <v>15</v>
      </c>
      <c r="U10" s="37"/>
      <c r="V10" s="37"/>
      <c r="W10" s="37">
        <v>15</v>
      </c>
      <c r="X10" s="37"/>
      <c r="Y10" s="363">
        <f t="shared" si="2"/>
        <v>15</v>
      </c>
      <c r="Z10" s="424"/>
      <c r="AA10" s="422"/>
      <c r="AB10" s="423"/>
      <c r="AC10" s="27">
        <f>IF(B10="",0,IF(E10="",0,IF(SUMIF(B8:B27,B10,I8:I27)=0,0,IF(E10="Obligatoire",AD10/I10,IF(F10="",AD10/SUMIF(B8:B27,B10,I8:I27),AD10/(SUMIF(B8:B27,B10,I8:I27)/F10))))))</f>
        <v>15</v>
      </c>
      <c r="AD10" s="16">
        <f>H10*I10</f>
        <v>225</v>
      </c>
    </row>
    <row r="11" spans="1:30">
      <c r="A11" s="430"/>
      <c r="B11" s="412" t="s">
        <v>43</v>
      </c>
      <c r="C11" s="410" t="s">
        <v>44</v>
      </c>
      <c r="D11" s="32" t="s">
        <v>34</v>
      </c>
      <c r="E11" s="48" t="s">
        <v>35</v>
      </c>
      <c r="F11" s="30">
        <v>1</v>
      </c>
      <c r="G11" s="31" t="s">
        <v>42</v>
      </c>
      <c r="H11" s="382">
        <v>6</v>
      </c>
      <c r="I11" s="37">
        <v>15</v>
      </c>
      <c r="J11" s="37">
        <v>15</v>
      </c>
      <c r="K11" s="34" t="s">
        <v>37</v>
      </c>
      <c r="L11" s="422"/>
      <c r="M11" s="422"/>
      <c r="N11" s="422"/>
      <c r="O11" s="423"/>
      <c r="P11" s="362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6</v>
      </c>
      <c r="R11" s="33"/>
      <c r="S11" s="15">
        <f t="shared" si="1"/>
        <v>6</v>
      </c>
      <c r="T11" s="28">
        <f>IF(G11="",0,IF(ISERROR(R11+Q11*VLOOKUP(G11,Paramétrage!$D$6:$F$27,3,0))=TRUE,S11,R11+Q11*VLOOKUP(G11,Paramétrage!$D$6:$F$27,3,0)))</f>
        <v>6</v>
      </c>
      <c r="U11" s="37">
        <v>6</v>
      </c>
      <c r="V11" s="37"/>
      <c r="W11" s="37"/>
      <c r="X11" s="37"/>
      <c r="Y11" s="363">
        <f t="shared" si="2"/>
        <v>6</v>
      </c>
      <c r="Z11" s="424"/>
      <c r="AA11" s="422"/>
      <c r="AB11" s="423"/>
      <c r="AC11" s="27">
        <f>IF(B11="",0,IF(E11="",0,IF(SUMIF(B8:B27,B11,I8:I27)=0,0,IF(E11="Obligatoire",AD11/I11,IF(F11="",AD11/SUMIF(B8:B27,B11,I8:I27),AD11/(SUMIF(B8:B27,B11,I8:I27)/F11))))))</f>
        <v>6</v>
      </c>
      <c r="AD11" s="16">
        <f>H11*I11</f>
        <v>90</v>
      </c>
    </row>
    <row r="12" spans="1:30">
      <c r="A12" s="430"/>
      <c r="B12" s="412" t="s">
        <v>45</v>
      </c>
      <c r="C12" s="411" t="s">
        <v>46</v>
      </c>
      <c r="D12" s="32" t="s">
        <v>34</v>
      </c>
      <c r="E12" s="48" t="s">
        <v>35</v>
      </c>
      <c r="F12" s="30">
        <v>1</v>
      </c>
      <c r="G12" s="31" t="s">
        <v>36</v>
      </c>
      <c r="H12" s="382">
        <v>21</v>
      </c>
      <c r="I12" s="37">
        <v>35</v>
      </c>
      <c r="J12" s="37">
        <v>35</v>
      </c>
      <c r="K12" s="34" t="s">
        <v>47</v>
      </c>
      <c r="L12" s="422" t="s">
        <v>48</v>
      </c>
      <c r="M12" s="422"/>
      <c r="N12" s="422"/>
      <c r="O12" s="423"/>
      <c r="P12" s="362">
        <f>IF(OR(J12="",G12=Paramétrage!$D$9,G12=Paramétrage!$D$12,G12=Paramétrage!$D$15,G12=Paramétrage!$D$18,G12=Paramétrage!$D$22,G12=Paramétrage!$D$25,AND(G12&lt;&gt;Paramétrage!$D$9,K12="Mut+ext")),0,ROUNDUP(I12/J12,0))</f>
        <v>0</v>
      </c>
      <c r="Q12" s="17">
        <f>IF(OR(G12="",K12="Mut+ext"),0,IF(VLOOKUP(G12,Paramétrage!$D$6:$F$27,3,0)=0,0,IF(J12="","saisir capacité",H12*P12*VLOOKUP(G12,Paramétrage!$D$6:$F$27,2,0))))</f>
        <v>0</v>
      </c>
      <c r="R12" s="33"/>
      <c r="S12" s="15">
        <f t="shared" si="1"/>
        <v>0</v>
      </c>
      <c r="T12" s="28">
        <f>IF(G12="",0,IF(ISERROR(R12+Q12*VLOOKUP(G12,Paramétrage!$D$6:$F$27,3,0))=TRUE,S12,R12+Q12*VLOOKUP(G12,Paramétrage!$D$6:$F$27,3,0)))</f>
        <v>0</v>
      </c>
      <c r="U12" s="37"/>
      <c r="V12" s="37"/>
      <c r="W12" s="37"/>
      <c r="X12" s="37"/>
      <c r="Y12" s="363">
        <f t="shared" si="2"/>
        <v>0</v>
      </c>
      <c r="Z12" s="424"/>
      <c r="AA12" s="422"/>
      <c r="AB12" s="423"/>
      <c r="AC12" s="27">
        <f>IF(B12="",0,IF(E12="",0,IF(SUMIF(B9:B27,B12,I9:I27)=0,0,IF(E12="Obligatoire",AD12/I12,IF(F12="",AD12/SUMIF(B9:B27,B12,I9:I27),AD12/(SUMIF(B9:B27,B12,I9:I27)/F12))))))</f>
        <v>21</v>
      </c>
      <c r="AD12" s="16">
        <f t="shared" ref="AD12:AD23" si="3">H12*I12</f>
        <v>735</v>
      </c>
    </row>
    <row r="13" spans="1:30">
      <c r="A13" s="430"/>
      <c r="B13" s="412" t="s">
        <v>49</v>
      </c>
      <c r="C13" s="410" t="s">
        <v>50</v>
      </c>
      <c r="D13" s="32" t="s">
        <v>34</v>
      </c>
      <c r="E13" s="48" t="s">
        <v>35</v>
      </c>
      <c r="F13" s="30">
        <v>1</v>
      </c>
      <c r="G13" s="31" t="s">
        <v>42</v>
      </c>
      <c r="H13" s="382">
        <v>5</v>
      </c>
      <c r="I13" s="37">
        <v>15</v>
      </c>
      <c r="J13" s="37">
        <v>15</v>
      </c>
      <c r="K13" s="34" t="s">
        <v>37</v>
      </c>
      <c r="L13" s="422"/>
      <c r="M13" s="422"/>
      <c r="N13" s="422"/>
      <c r="O13" s="423"/>
      <c r="P13" s="362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5</v>
      </c>
      <c r="R13" s="33"/>
      <c r="S13" s="15">
        <f t="shared" si="1"/>
        <v>5</v>
      </c>
      <c r="T13" s="28">
        <f>IF(G13="",0,IF(ISERROR(R13+Q13*VLOOKUP(G13,Paramétrage!$D$6:$F$27,3,0))=TRUE,S13,R13+Q13*VLOOKUP(G13,Paramétrage!$D$6:$F$27,3,0)))</f>
        <v>5</v>
      </c>
      <c r="U13" s="37"/>
      <c r="V13" s="37"/>
      <c r="W13" s="37">
        <v>5</v>
      </c>
      <c r="X13" s="37"/>
      <c r="Y13" s="363">
        <f t="shared" si="2"/>
        <v>5</v>
      </c>
      <c r="Z13" s="424"/>
      <c r="AA13" s="422"/>
      <c r="AB13" s="423"/>
      <c r="AC13" s="27">
        <f>IF(B13="",0,IF(E13="",0,IF(SUMIF(B10:B28,B13,I10:I28)=0,0,IF(E13="Obligatoire",AD13/I13,IF(F13="",AD13/SUMIF(B10:B28,B13,I10:I28),AD13/(SUMIF(B10:B28,B13,I10:I28)/F13))))))</f>
        <v>5</v>
      </c>
      <c r="AD13" s="16">
        <f t="shared" si="3"/>
        <v>75</v>
      </c>
    </row>
    <row r="14" spans="1:30">
      <c r="A14" s="430"/>
      <c r="B14" s="412" t="s">
        <v>51</v>
      </c>
      <c r="C14" s="410" t="s">
        <v>52</v>
      </c>
      <c r="D14" s="32" t="s">
        <v>34</v>
      </c>
      <c r="E14" s="48" t="s">
        <v>35</v>
      </c>
      <c r="F14" s="30">
        <v>1</v>
      </c>
      <c r="G14" s="31" t="s">
        <v>42</v>
      </c>
      <c r="H14" s="382">
        <v>10</v>
      </c>
      <c r="I14" s="37">
        <v>15</v>
      </c>
      <c r="J14" s="37">
        <v>15</v>
      </c>
      <c r="K14" s="34" t="s">
        <v>37</v>
      </c>
      <c r="L14" s="422"/>
      <c r="M14" s="422"/>
      <c r="N14" s="422"/>
      <c r="O14" s="423"/>
      <c r="P14" s="362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10</v>
      </c>
      <c r="R14" s="33"/>
      <c r="S14" s="15">
        <f t="shared" si="1"/>
        <v>10</v>
      </c>
      <c r="T14" s="28">
        <f>IF(G14="",0,IF(ISERROR(R14+Q14*VLOOKUP(G14,Paramétrage!$D$6:$F$27,3,0))=TRUE,S14,R14+Q14*VLOOKUP(G14,Paramétrage!$D$6:$F$27,3,0)))</f>
        <v>10</v>
      </c>
      <c r="U14" s="37"/>
      <c r="V14" s="37"/>
      <c r="W14" s="37">
        <v>10</v>
      </c>
      <c r="X14" s="37"/>
      <c r="Y14" s="363">
        <f t="shared" si="2"/>
        <v>10</v>
      </c>
      <c r="Z14" s="424"/>
      <c r="AA14" s="422"/>
      <c r="AB14" s="423"/>
      <c r="AC14" s="27">
        <f>IF(B14="",0,IF(E14="",0,IF(SUMIF(B11:B29,B14,I11:I29)=0,0,IF(E14="Obligatoire",AD14/I14,IF(F14="",AD14/SUMIF(B11:B29,B14,I11:I29),AD14/(SUMIF(B11:B29,B14,I11:I29)/F14))))))</f>
        <v>10</v>
      </c>
      <c r="AD14" s="16">
        <f t="shared" ref="AD14:AD16" si="4">H14*I14</f>
        <v>150</v>
      </c>
    </row>
    <row r="15" spans="1:30">
      <c r="A15" s="430"/>
      <c r="B15" s="412" t="s">
        <v>53</v>
      </c>
      <c r="C15" s="410" t="s">
        <v>54</v>
      </c>
      <c r="D15" s="32" t="s">
        <v>34</v>
      </c>
      <c r="E15" s="48" t="s">
        <v>35</v>
      </c>
      <c r="F15" s="30">
        <v>1</v>
      </c>
      <c r="G15" s="31" t="s">
        <v>36</v>
      </c>
      <c r="H15" s="382">
        <v>5</v>
      </c>
      <c r="I15" s="37">
        <v>15</v>
      </c>
      <c r="J15" s="37">
        <v>15</v>
      </c>
      <c r="K15" s="34" t="s">
        <v>37</v>
      </c>
      <c r="L15" s="422"/>
      <c r="M15" s="422"/>
      <c r="N15" s="422"/>
      <c r="O15" s="423"/>
      <c r="P15" s="362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5</v>
      </c>
      <c r="R15" s="33"/>
      <c r="S15" s="15">
        <f t="shared" si="1"/>
        <v>5</v>
      </c>
      <c r="T15" s="28">
        <f>IF(G15="",0,IF(ISERROR(R15+Q15*VLOOKUP(G15,Paramétrage!$D$6:$F$27,3,0))=TRUE,S15,R15+Q15*VLOOKUP(G15,Paramétrage!$D$6:$F$27,3,0)))</f>
        <v>7.5</v>
      </c>
      <c r="U15" s="37"/>
      <c r="V15" s="37"/>
      <c r="W15" s="37">
        <v>5</v>
      </c>
      <c r="X15" s="37"/>
      <c r="Y15" s="363">
        <f t="shared" si="2"/>
        <v>5</v>
      </c>
      <c r="Z15" s="424"/>
      <c r="AA15" s="422"/>
      <c r="AB15" s="423"/>
      <c r="AC15" s="27">
        <f>IF(B15="",0,IF(E15="",0,IF(SUMIF(B12:B30,B15,I12:I30)=0,0,IF(E15="Obligatoire",AD15/I15,IF(F15="",AD15/SUMIF(B12:B30,B15,I12:I30),AD15/(SUMIF(B12:B30,B15,I12:I30)/F15))))))</f>
        <v>5</v>
      </c>
      <c r="AD15" s="16">
        <f t="shared" si="4"/>
        <v>75</v>
      </c>
    </row>
    <row r="16" spans="1:30">
      <c r="A16" s="430"/>
      <c r="B16" s="412" t="s">
        <v>55</v>
      </c>
      <c r="C16" s="410" t="s">
        <v>44</v>
      </c>
      <c r="D16" s="32" t="s">
        <v>34</v>
      </c>
      <c r="E16" s="48" t="s">
        <v>35</v>
      </c>
      <c r="F16" s="30">
        <v>1</v>
      </c>
      <c r="G16" s="31" t="s">
        <v>42</v>
      </c>
      <c r="H16" s="382">
        <v>6</v>
      </c>
      <c r="I16" s="37">
        <v>15</v>
      </c>
      <c r="J16" s="37">
        <v>15</v>
      </c>
      <c r="K16" s="34" t="s">
        <v>37</v>
      </c>
      <c r="L16" s="422"/>
      <c r="M16" s="422"/>
      <c r="N16" s="422"/>
      <c r="O16" s="423"/>
      <c r="P16" s="362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6</v>
      </c>
      <c r="R16" s="33"/>
      <c r="S16" s="15">
        <f t="shared" si="1"/>
        <v>6</v>
      </c>
      <c r="T16" s="28">
        <f>IF(G16="",0,IF(ISERROR(R16+Q16*VLOOKUP(G16,Paramétrage!$D$6:$F$27,3,0))=TRUE,S16,R16+Q16*VLOOKUP(G16,Paramétrage!$D$6:$F$27,3,0)))</f>
        <v>6</v>
      </c>
      <c r="U16" s="37">
        <v>6</v>
      </c>
      <c r="V16" s="37"/>
      <c r="W16" s="37"/>
      <c r="X16" s="37"/>
      <c r="Y16" s="363">
        <f t="shared" si="2"/>
        <v>6</v>
      </c>
      <c r="Z16" s="424"/>
      <c r="AA16" s="422"/>
      <c r="AB16" s="423"/>
      <c r="AC16" s="27">
        <f>IF(B16="",0,IF(E16="",0,IF(SUMIF(B13:B38,B16,I13:I38)=0,0,IF(E16="Obligatoire",AD16/I16,IF(F16="",AD16/SUMIF(B13:B38,B16,I13:I38),AD16/(SUMIF(B13:B38,B16,I13:I38)/F16))))))</f>
        <v>6</v>
      </c>
      <c r="AD16" s="16">
        <f t="shared" si="4"/>
        <v>90</v>
      </c>
    </row>
    <row r="17" spans="1:30">
      <c r="A17" s="430"/>
      <c r="B17" s="412" t="s">
        <v>56</v>
      </c>
      <c r="C17" s="411" t="s">
        <v>57</v>
      </c>
      <c r="D17" s="32" t="s">
        <v>34</v>
      </c>
      <c r="E17" s="48" t="s">
        <v>35</v>
      </c>
      <c r="F17" s="30">
        <v>1</v>
      </c>
      <c r="G17" s="31" t="s">
        <v>36</v>
      </c>
      <c r="H17" s="382">
        <v>15</v>
      </c>
      <c r="I17" s="37">
        <v>35</v>
      </c>
      <c r="J17" s="37">
        <v>35</v>
      </c>
      <c r="K17" s="34" t="s">
        <v>47</v>
      </c>
      <c r="L17" s="422" t="s">
        <v>48</v>
      </c>
      <c r="M17" s="422"/>
      <c r="N17" s="422"/>
      <c r="O17" s="423"/>
      <c r="P17" s="362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33"/>
      <c r="S17" s="15">
        <f t="shared" si="1"/>
        <v>0</v>
      </c>
      <c r="T17" s="28">
        <f>IF(G17="",0,IF(ISERROR(R17+Q17*VLOOKUP(G17,Paramétrage!$D$6:$F$27,3,0))=TRUE,S17,R17+Q17*VLOOKUP(G17,Paramétrage!$D$6:$F$27,3,0)))</f>
        <v>0</v>
      </c>
      <c r="U17" s="37"/>
      <c r="V17" s="37"/>
      <c r="W17" s="37"/>
      <c r="X17" s="37"/>
      <c r="Y17" s="363">
        <f t="shared" si="2"/>
        <v>0</v>
      </c>
      <c r="Z17" s="424"/>
      <c r="AA17" s="422"/>
      <c r="AB17" s="423"/>
      <c r="AC17" s="27">
        <f>IF(B17="",0,IF(E17="",0,IF(SUMIF(B11:B29,B17,I11:I29)=0,0,IF(E17="Obligatoire",AD17/I17,IF(F17="",AD17/SUMIF(B11:B29,B17,I11:I29),AD17/(SUMIF(B11:B29,B17,I11:I29)/F17))))))</f>
        <v>15</v>
      </c>
      <c r="AD17" s="16">
        <f t="shared" si="3"/>
        <v>525</v>
      </c>
    </row>
    <row r="18" spans="1:30">
      <c r="A18" s="430"/>
      <c r="B18" s="412" t="s">
        <v>58</v>
      </c>
      <c r="C18" s="411" t="s">
        <v>59</v>
      </c>
      <c r="D18" s="32" t="s">
        <v>34</v>
      </c>
      <c r="E18" s="48" t="s">
        <v>35</v>
      </c>
      <c r="F18" s="30">
        <v>1</v>
      </c>
      <c r="G18" s="31" t="s">
        <v>36</v>
      </c>
      <c r="H18" s="382">
        <v>15</v>
      </c>
      <c r="I18" s="37">
        <v>35</v>
      </c>
      <c r="J18" s="37">
        <v>35</v>
      </c>
      <c r="K18" s="34" t="s">
        <v>47</v>
      </c>
      <c r="L18" s="422" t="s">
        <v>48</v>
      </c>
      <c r="M18" s="422"/>
      <c r="N18" s="422"/>
      <c r="O18" s="423"/>
      <c r="P18" s="362">
        <f>IF(OR(J18="",G18=Paramétrage!$D$9,G18=Paramétrage!$D$12,G18=Paramétrage!$D$15,G18=Paramétrage!$D$18,G18=Paramétrage!$D$22,G18=Paramétrage!$D$25,AND(G18&lt;&gt;Paramétrage!$D$9,K18="Mut+ext")),0,ROUNDUP(I18/J18,0))</f>
        <v>0</v>
      </c>
      <c r="Q18" s="17">
        <f>IF(OR(G18="",K18="Mut+ext"),0,IF(VLOOKUP(G18,Paramétrage!$D$6:$F$27,3,0)=0,0,IF(J18="","saisir capacité",H18*P18*VLOOKUP(G18,Paramétrage!$D$6:$F$27,2,0))))</f>
        <v>0</v>
      </c>
      <c r="R18" s="33"/>
      <c r="S18" s="15">
        <f t="shared" si="1"/>
        <v>0</v>
      </c>
      <c r="T18" s="28">
        <f>IF(G18="",0,IF(ISERROR(R18+Q18*VLOOKUP(G18,Paramétrage!$D$6:$F$27,3,0))=TRUE,S18,R18+Q18*VLOOKUP(G18,Paramétrage!$D$6:$F$27,3,0)))</f>
        <v>0</v>
      </c>
      <c r="U18" s="37"/>
      <c r="V18" s="37"/>
      <c r="W18" s="37"/>
      <c r="X18" s="37"/>
      <c r="Y18" s="363">
        <f t="shared" si="2"/>
        <v>0</v>
      </c>
      <c r="Z18" s="424"/>
      <c r="AA18" s="422"/>
      <c r="AB18" s="423"/>
      <c r="AC18" s="27">
        <f>IF(B18="",0,IF(E18="",0,IF(SUMIF(B12:B42,B18,I12:I42)=0,0,IF(E18="Obligatoire",AD18/I18,IF(F18="",AD18/SUMIF(B12:B42,B18,I12:I42),AD18/(SUMIF(B12:B42,B18,I12:I42)/F18))))))</f>
        <v>15</v>
      </c>
      <c r="AD18" s="16">
        <f t="shared" si="3"/>
        <v>525</v>
      </c>
    </row>
    <row r="19" spans="1:30">
      <c r="A19" s="430"/>
      <c r="B19" s="412" t="s">
        <v>60</v>
      </c>
      <c r="C19" s="410" t="s">
        <v>61</v>
      </c>
      <c r="D19" s="32" t="s">
        <v>34</v>
      </c>
      <c r="E19" s="48" t="s">
        <v>35</v>
      </c>
      <c r="F19" s="30">
        <v>1</v>
      </c>
      <c r="G19" s="31" t="s">
        <v>42</v>
      </c>
      <c r="H19" s="382">
        <v>10</v>
      </c>
      <c r="I19" s="37">
        <v>15</v>
      </c>
      <c r="J19" s="37">
        <v>15</v>
      </c>
      <c r="K19" s="34" t="s">
        <v>37</v>
      </c>
      <c r="L19" s="422"/>
      <c r="M19" s="422"/>
      <c r="N19" s="422"/>
      <c r="O19" s="423"/>
      <c r="P19" s="362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10</v>
      </c>
      <c r="R19" s="33"/>
      <c r="S19" s="15">
        <f t="shared" si="1"/>
        <v>10</v>
      </c>
      <c r="T19" s="28">
        <f>IF(G19="",0,IF(ISERROR(R19+Q19*VLOOKUP(G19,Paramétrage!$D$6:$F$27,3,0))=TRUE,S19,R19+Q19*VLOOKUP(G19,Paramétrage!$D$6:$F$27,3,0)))</f>
        <v>10</v>
      </c>
      <c r="U19" s="37"/>
      <c r="V19" s="37"/>
      <c r="W19" s="37">
        <v>10</v>
      </c>
      <c r="X19" s="37"/>
      <c r="Y19" s="363">
        <f t="shared" si="2"/>
        <v>10</v>
      </c>
      <c r="Z19" s="424"/>
      <c r="AA19" s="422"/>
      <c r="AB19" s="423"/>
      <c r="AC19" s="27">
        <f>IF(B19="",0,IF(E19="",0,IF(SUMIF(B13:B43,B19,I13:I43)=0,0,IF(E19="Obligatoire",AD19/I19,IF(F19="",AD19/SUMIF(B13:B43,B19,I13:I43),AD19/(SUMIF(B13:B43,B19,I13:I43)/F19))))))</f>
        <v>10</v>
      </c>
      <c r="AD19" s="16">
        <f t="shared" si="3"/>
        <v>150</v>
      </c>
    </row>
    <row r="20" spans="1:30">
      <c r="A20" s="430"/>
      <c r="B20" s="412" t="s">
        <v>62</v>
      </c>
      <c r="C20" s="410" t="s">
        <v>44</v>
      </c>
      <c r="D20" s="32" t="s">
        <v>34</v>
      </c>
      <c r="E20" s="48" t="s">
        <v>35</v>
      </c>
      <c r="F20" s="30">
        <v>1</v>
      </c>
      <c r="G20" s="31" t="s">
        <v>42</v>
      </c>
      <c r="H20" s="382">
        <v>6</v>
      </c>
      <c r="I20" s="37">
        <v>15</v>
      </c>
      <c r="J20" s="37">
        <v>15</v>
      </c>
      <c r="K20" s="34" t="s">
        <v>37</v>
      </c>
      <c r="L20" s="422"/>
      <c r="M20" s="422"/>
      <c r="N20" s="422"/>
      <c r="O20" s="423"/>
      <c r="P20" s="362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6</v>
      </c>
      <c r="R20" s="33"/>
      <c r="S20" s="15">
        <f t="shared" si="1"/>
        <v>6</v>
      </c>
      <c r="T20" s="28">
        <f>IF(G20="",0,IF(ISERROR(R20+Q20*VLOOKUP(G20,Paramétrage!$D$6:$F$27,3,0))=TRUE,S20,R20+Q20*VLOOKUP(G20,Paramétrage!$D$6:$F$27,3,0)))</f>
        <v>6</v>
      </c>
      <c r="U20" s="37"/>
      <c r="V20" s="37"/>
      <c r="W20" s="37">
        <v>6</v>
      </c>
      <c r="X20" s="37"/>
      <c r="Y20" s="363">
        <f t="shared" si="2"/>
        <v>6</v>
      </c>
      <c r="Z20" s="424"/>
      <c r="AA20" s="422"/>
      <c r="AB20" s="423"/>
      <c r="AC20" s="27">
        <f>IF(B20="",0,IF(E20="",0,IF(SUMIF(B17:B44,B20,I17:I44)=0,0,IF(E20="Obligatoire",AD20/I20,IF(F20="",AD20/SUMIF(B17:B44,B20,I17:I44),AD20/(SUMIF(B17:B44,B20,I17:I44)/F20))))))</f>
        <v>6</v>
      </c>
      <c r="AD20" s="16">
        <f t="shared" si="3"/>
        <v>90</v>
      </c>
    </row>
    <row r="21" spans="1:30">
      <c r="A21" s="430"/>
      <c r="B21" s="412" t="s">
        <v>63</v>
      </c>
      <c r="C21" s="411" t="s">
        <v>64</v>
      </c>
      <c r="D21" s="32" t="s">
        <v>34</v>
      </c>
      <c r="E21" s="48" t="s">
        <v>35</v>
      </c>
      <c r="F21" s="30">
        <v>1</v>
      </c>
      <c r="G21" s="31" t="s">
        <v>36</v>
      </c>
      <c r="H21" s="382">
        <v>21</v>
      </c>
      <c r="I21" s="37">
        <v>35</v>
      </c>
      <c r="J21" s="37">
        <v>35</v>
      </c>
      <c r="K21" s="34" t="s">
        <v>47</v>
      </c>
      <c r="L21" s="422" t="s">
        <v>48</v>
      </c>
      <c r="M21" s="422"/>
      <c r="N21" s="422"/>
      <c r="O21" s="423"/>
      <c r="P21" s="362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33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37"/>
      <c r="V21" s="37"/>
      <c r="W21" s="37"/>
      <c r="X21" s="37"/>
      <c r="Y21" s="363">
        <f t="shared" si="2"/>
        <v>0</v>
      </c>
      <c r="Z21" s="424"/>
      <c r="AA21" s="422"/>
      <c r="AB21" s="423"/>
      <c r="AC21" s="27">
        <f>IF(B21="",0,IF(E21="",0,IF(SUMIF(B18:B45,B21,I18:I45)=0,0,IF(E21="Obligatoire",AD21/I21,IF(F21="",AD21/SUMIF(B18:B45,B21,I18:I45),AD21/(SUMIF(B18:B45,B21,I18:I45)/F21))))))</f>
        <v>21</v>
      </c>
      <c r="AD21" s="16">
        <f t="shared" si="3"/>
        <v>735</v>
      </c>
    </row>
    <row r="22" spans="1:30">
      <c r="A22" s="430"/>
      <c r="B22" s="412" t="s">
        <v>65</v>
      </c>
      <c r="C22" s="410" t="s">
        <v>66</v>
      </c>
      <c r="D22" s="32" t="s">
        <v>34</v>
      </c>
      <c r="E22" s="48" t="s">
        <v>35</v>
      </c>
      <c r="F22" s="30">
        <v>1</v>
      </c>
      <c r="G22" s="31" t="s">
        <v>36</v>
      </c>
      <c r="H22" s="382">
        <v>21</v>
      </c>
      <c r="I22" s="37">
        <v>15</v>
      </c>
      <c r="J22" s="37">
        <v>15</v>
      </c>
      <c r="K22" s="34" t="s">
        <v>37</v>
      </c>
      <c r="L22" s="422"/>
      <c r="M22" s="422"/>
      <c r="N22" s="422"/>
      <c r="O22" s="423"/>
      <c r="P22" s="362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21</v>
      </c>
      <c r="R22" s="33"/>
      <c r="S22" s="15">
        <f t="shared" si="1"/>
        <v>21</v>
      </c>
      <c r="T22" s="28">
        <f>IF(G22="",0,IF(ISERROR(R22+Q22*VLOOKUP(G22,Paramétrage!$D$6:$F$27,3,0))=TRUE,S22,R22+Q22*VLOOKUP(G22,Paramétrage!$D$6:$F$27,3,0)))</f>
        <v>31.5</v>
      </c>
      <c r="U22" s="37">
        <v>21</v>
      </c>
      <c r="V22" s="37"/>
      <c r="W22" s="37"/>
      <c r="X22" s="37"/>
      <c r="Y22" s="363">
        <f t="shared" si="2"/>
        <v>21</v>
      </c>
      <c r="Z22" s="424"/>
      <c r="AA22" s="422"/>
      <c r="AB22" s="423"/>
      <c r="AC22" s="27">
        <f>IF(B22="",0,IF(E22="",0,IF(SUMIF(B19:B46,B22,I19:I46)=0,0,IF(E22="Obligatoire",AD22/I22,IF(F22="",AD22/SUMIF(B19:B46,B22,I19:I46),AD22/(SUMIF(B19:B46,B22,I19:I46)/F22))))))</f>
        <v>21</v>
      </c>
      <c r="AD22" s="16">
        <f t="shared" si="3"/>
        <v>315</v>
      </c>
    </row>
    <row r="23" spans="1:30">
      <c r="A23" s="430"/>
      <c r="B23" s="412" t="s">
        <v>67</v>
      </c>
      <c r="C23" s="411" t="s">
        <v>68</v>
      </c>
      <c r="D23" s="32" t="s">
        <v>34</v>
      </c>
      <c r="E23" s="48" t="s">
        <v>35</v>
      </c>
      <c r="F23" s="30">
        <v>1</v>
      </c>
      <c r="G23" s="31" t="s">
        <v>36</v>
      </c>
      <c r="H23" s="382">
        <v>21</v>
      </c>
      <c r="I23" s="37">
        <v>35</v>
      </c>
      <c r="J23" s="37">
        <v>35</v>
      </c>
      <c r="K23" s="34" t="s">
        <v>47</v>
      </c>
      <c r="L23" s="422" t="s">
        <v>48</v>
      </c>
      <c r="M23" s="422"/>
      <c r="N23" s="422"/>
      <c r="O23" s="423"/>
      <c r="P23" s="362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63">
        <f t="shared" si="2"/>
        <v>0</v>
      </c>
      <c r="Z23" s="424"/>
      <c r="AA23" s="422"/>
      <c r="AB23" s="423"/>
      <c r="AC23" s="27">
        <f>IF(B23="",0,IF(E23="",0,IF(SUMIF(B20:B47,B23,I20:I47)=0,0,IF(E23="Obligatoire",AD23/I23,IF(F23="",AD23/SUMIF(B20:B47,B23,I20:I47),AD23/(SUMIF(B20:B47,B23,I20:I47)/F23))))))</f>
        <v>21</v>
      </c>
      <c r="AD23" s="16">
        <f t="shared" si="3"/>
        <v>735</v>
      </c>
    </row>
    <row r="24" spans="1:30" ht="15.6" customHeight="1">
      <c r="A24" s="430"/>
      <c r="B24" s="412" t="s">
        <v>69</v>
      </c>
      <c r="C24" s="410" t="s">
        <v>44</v>
      </c>
      <c r="D24" s="32" t="s">
        <v>34</v>
      </c>
      <c r="E24" s="48" t="s">
        <v>35</v>
      </c>
      <c r="F24" s="30">
        <v>1</v>
      </c>
      <c r="G24" s="31" t="s">
        <v>42</v>
      </c>
      <c r="H24" s="382">
        <v>6</v>
      </c>
      <c r="I24" s="37">
        <v>15</v>
      </c>
      <c r="J24" s="37">
        <v>15</v>
      </c>
      <c r="K24" s="34" t="s">
        <v>37</v>
      </c>
      <c r="L24" s="422"/>
      <c r="M24" s="422"/>
      <c r="N24" s="422"/>
      <c r="O24" s="423"/>
      <c r="P24" s="362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6</v>
      </c>
      <c r="R24" s="33"/>
      <c r="S24" s="15">
        <f t="shared" si="1"/>
        <v>6</v>
      </c>
      <c r="T24" s="28">
        <f>IF(G24="",0,IF(ISERROR(R24+Q24*VLOOKUP(G24,Paramétrage!$D$6:$F$27,3,0))=TRUE,S24,R24+Q24*VLOOKUP(G24,Paramétrage!$D$6:$F$27,3,0)))</f>
        <v>6</v>
      </c>
      <c r="U24" s="37">
        <v>6</v>
      </c>
      <c r="V24" s="37"/>
      <c r="W24" s="37"/>
      <c r="X24" s="37"/>
      <c r="Y24" s="363">
        <f t="shared" si="2"/>
        <v>6</v>
      </c>
      <c r="Z24" s="424"/>
      <c r="AA24" s="422"/>
      <c r="AB24" s="423"/>
      <c r="AC24" s="27">
        <f>IF(B24="",0,IF(E24="",0,IF(SUMIF(B8:B27,B24,I8:I27)=0,0,IF(E24="Obligatoire",AD24/I24,IF(F24="",AD24/SUMIF(B8:B27,B24,I8:I27),AD24/(SUMIF(B8:B27,B24,I8:I27)/F24))))))</f>
        <v>6</v>
      </c>
      <c r="AD24" s="16">
        <f t="shared" ref="AD24:AD29" si="5">H24*I24</f>
        <v>90</v>
      </c>
    </row>
    <row r="25" spans="1:30">
      <c r="A25" s="430"/>
      <c r="B25" s="412" t="s">
        <v>70</v>
      </c>
      <c r="C25" s="411" t="s">
        <v>71</v>
      </c>
      <c r="D25" s="32" t="s">
        <v>34</v>
      </c>
      <c r="E25" s="48" t="s">
        <v>35</v>
      </c>
      <c r="F25" s="30">
        <v>1</v>
      </c>
      <c r="G25" s="31" t="s">
        <v>36</v>
      </c>
      <c r="H25" s="382">
        <v>21</v>
      </c>
      <c r="I25" s="37">
        <v>35</v>
      </c>
      <c r="J25" s="37">
        <v>35</v>
      </c>
      <c r="K25" s="34" t="s">
        <v>47</v>
      </c>
      <c r="L25" s="422" t="s">
        <v>48</v>
      </c>
      <c r="M25" s="422"/>
      <c r="N25" s="422"/>
      <c r="O25" s="423"/>
      <c r="P25" s="362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9"/>
      <c r="W25" s="39"/>
      <c r="X25" s="39"/>
      <c r="Y25" s="363">
        <f t="shared" si="2"/>
        <v>0</v>
      </c>
      <c r="Z25" s="424"/>
      <c r="AA25" s="422"/>
      <c r="AB25" s="423"/>
      <c r="AC25" s="27">
        <f>IF(B25="",0,IF(E25="",0,IF(SUMIF(B8:B27,B25,I8:I27)=0,0,IF(E25="Obligatoire",AD25/I25,IF(F25="",AD25/SUMIF(B8:B27,B25,I8:I27),AD25/(SUMIF(B8:B27,B25,I8:I27)/F25))))))</f>
        <v>21</v>
      </c>
      <c r="AD25" s="16">
        <f t="shared" si="5"/>
        <v>735</v>
      </c>
    </row>
    <row r="26" spans="1:30">
      <c r="A26" s="430"/>
      <c r="B26" s="412" t="s">
        <v>72</v>
      </c>
      <c r="C26" s="411" t="s">
        <v>73</v>
      </c>
      <c r="D26" s="32" t="s">
        <v>34</v>
      </c>
      <c r="E26" s="48" t="s">
        <v>35</v>
      </c>
      <c r="F26" s="30">
        <v>1</v>
      </c>
      <c r="G26" s="31" t="s">
        <v>36</v>
      </c>
      <c r="H26" s="40">
        <v>21</v>
      </c>
      <c r="I26" s="37">
        <v>35</v>
      </c>
      <c r="J26" s="37">
        <v>35</v>
      </c>
      <c r="K26" s="34" t="s">
        <v>47</v>
      </c>
      <c r="L26" s="422" t="s">
        <v>48</v>
      </c>
      <c r="M26" s="422"/>
      <c r="N26" s="422"/>
      <c r="O26" s="423"/>
      <c r="P26" s="362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8"/>
      <c r="W26" s="38"/>
      <c r="X26" s="38"/>
      <c r="Y26" s="363">
        <f t="shared" si="2"/>
        <v>0</v>
      </c>
      <c r="Z26" s="424"/>
      <c r="AA26" s="422"/>
      <c r="AB26" s="423"/>
      <c r="AC26" s="27">
        <f>IF(B26="",0,IF(E26="",0,IF(SUMIF(B8:B27,B26,I8:I27)=0,0,IF(E26="Obligatoire",AD26/I26,IF(F26="",AD26/SUMIF(B8:B27,B26,I8:I27),AD26/(SUMIF(B8:B27,B26,I8:I27)/F26))))))</f>
        <v>21</v>
      </c>
      <c r="AD26" s="16">
        <f t="shared" si="5"/>
        <v>735</v>
      </c>
    </row>
    <row r="27" spans="1:30" ht="16.5" thickBot="1">
      <c r="A27" s="430"/>
      <c r="B27" s="412" t="s">
        <v>74</v>
      </c>
      <c r="C27" s="413" t="s">
        <v>75</v>
      </c>
      <c r="D27" s="32" t="s">
        <v>34</v>
      </c>
      <c r="E27" s="48" t="s">
        <v>35</v>
      </c>
      <c r="F27" s="30">
        <v>1</v>
      </c>
      <c r="G27" s="31" t="s">
        <v>36</v>
      </c>
      <c r="H27" s="40">
        <v>7</v>
      </c>
      <c r="I27" s="37">
        <v>15</v>
      </c>
      <c r="J27" s="37">
        <v>15</v>
      </c>
      <c r="K27" s="34" t="s">
        <v>37</v>
      </c>
      <c r="L27" s="422"/>
      <c r="M27" s="422"/>
      <c r="N27" s="422"/>
      <c r="O27" s="423"/>
      <c r="P27" s="362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7</v>
      </c>
      <c r="R27" s="378"/>
      <c r="S27" s="379">
        <f t="shared" si="1"/>
        <v>7</v>
      </c>
      <c r="T27" s="380">
        <f>IF(G27="",0,IF(ISERROR(R27+Q27*VLOOKUP(G27,Paramétrage!$D$6:$F$27,3,0))=TRUE,S27,R27+Q27*VLOOKUP(G27,Paramétrage!$D$6:$F$27,3,0)))</f>
        <v>10.5</v>
      </c>
      <c r="U27" s="38"/>
      <c r="V27" s="38"/>
      <c r="W27" s="38">
        <v>7</v>
      </c>
      <c r="X27" s="38"/>
      <c r="Y27" s="381">
        <f t="shared" si="2"/>
        <v>7</v>
      </c>
      <c r="Z27" s="424"/>
      <c r="AA27" s="422"/>
      <c r="AB27" s="423"/>
      <c r="AC27" s="27">
        <f>IF(B27="",0,IF(E27="",0,IF(SUMIF(B8:B27,B27,I8:I27)=0,0,IF(E27="Obligatoire",AD27/I27,IF(F27="",AD27/SUMIF(B8:B27,B27,I8:I27),AD27/(SUMIF(B8:B27,B27,I8:I27)/F27))))))</f>
        <v>7</v>
      </c>
      <c r="AD27" s="16">
        <f t="shared" si="5"/>
        <v>105</v>
      </c>
    </row>
    <row r="28" spans="1:30" ht="15.6" customHeight="1">
      <c r="A28" s="430"/>
      <c r="B28" s="412" t="s">
        <v>76</v>
      </c>
      <c r="C28" s="413" t="s">
        <v>77</v>
      </c>
      <c r="D28" s="32" t="s">
        <v>34</v>
      </c>
      <c r="E28" s="48" t="s">
        <v>35</v>
      </c>
      <c r="F28" s="30">
        <v>1</v>
      </c>
      <c r="G28" s="31" t="s">
        <v>36</v>
      </c>
      <c r="H28" s="40">
        <v>15</v>
      </c>
      <c r="I28" s="37">
        <v>15</v>
      </c>
      <c r="J28" s="37">
        <v>15</v>
      </c>
      <c r="K28" s="34" t="s">
        <v>37</v>
      </c>
      <c r="L28" s="420"/>
      <c r="M28" s="420"/>
      <c r="N28" s="420"/>
      <c r="O28" s="421"/>
      <c r="P28" s="373">
        <f>IF(OR(J28="",G28=Paramétrage!$D$9,G28=Paramétrage!$D$12,G28=Paramétrage!$D$15,G28=Paramétrage!$D$18,G28=Paramétrage!$D$22,G28=Paramétrage!$D$25,AND(G28&lt;&gt;Paramétrage!$D$9,K28="Mut+ext")),0,ROUNDUP(I28/J28,0))</f>
        <v>1</v>
      </c>
      <c r="Q28" s="17">
        <f>IF(OR(G28="",K28="Mut+ext"),0,IF(VLOOKUP(G28,Paramétrage!$D$6:$F$27,3,0)=0,0,IF(J28="","saisir capacité",H28*P28*VLOOKUP(G28,Paramétrage!$D$6:$F$27,2,0))))</f>
        <v>15</v>
      </c>
      <c r="R28" s="374"/>
      <c r="S28" s="15">
        <f t="shared" si="1"/>
        <v>15</v>
      </c>
      <c r="T28" s="28">
        <f>IF(G28="",0,IF(ISERROR(R28+Q28*VLOOKUP(G28,Paramétrage!$D$6:$F$27,3,0))=TRUE,S28,R28+Q28*VLOOKUP(G28,Paramétrage!$D$6:$F$27,3,0)))</f>
        <v>22.5</v>
      </c>
      <c r="U28" s="37"/>
      <c r="V28" s="37"/>
      <c r="W28" s="37">
        <v>15</v>
      </c>
      <c r="X28" s="37"/>
      <c r="Y28" s="363">
        <f>SUM(U28:X28)</f>
        <v>15</v>
      </c>
      <c r="Z28" s="434"/>
      <c r="AA28" s="420"/>
      <c r="AB28" s="421"/>
      <c r="AC28" s="57">
        <f>IF(B28="",0,IF(E28="",0,IF(SUMIF(B28:B47,B28,I28:I47)=0,0,IF(E28="Obligatoire",AD28/I28,IF(F28="",AD28/SUMIF(B28:B47,B28,I28:I47),AD28/(SUMIF(B28:B47,B28,I28:I47)/F28))))))</f>
        <v>15</v>
      </c>
      <c r="AD28" s="58">
        <f t="shared" si="5"/>
        <v>225</v>
      </c>
    </row>
    <row r="29" spans="1:30">
      <c r="A29" s="430"/>
      <c r="B29" s="412" t="s">
        <v>78</v>
      </c>
      <c r="C29" s="413" t="s">
        <v>79</v>
      </c>
      <c r="D29" s="32" t="s">
        <v>34</v>
      </c>
      <c r="E29" s="48" t="s">
        <v>35</v>
      </c>
      <c r="F29" s="30">
        <v>1</v>
      </c>
      <c r="G29" s="31" t="s">
        <v>36</v>
      </c>
      <c r="H29" s="40">
        <v>10</v>
      </c>
      <c r="I29" s="37">
        <v>15</v>
      </c>
      <c r="J29" s="37">
        <v>15</v>
      </c>
      <c r="K29" s="34" t="s">
        <v>37</v>
      </c>
      <c r="L29" s="422"/>
      <c r="M29" s="422"/>
      <c r="N29" s="422"/>
      <c r="O29" s="423"/>
      <c r="P29" s="362">
        <f>IF(OR(J29="",G29=Paramétrage!$D$9,G29=Paramétrage!$D$12,G29=Paramétrage!$D$15,G29=Paramétrage!$D$18,G29=Paramétrage!$D$22,G29=Paramétrage!$D$25,AND(G29&lt;&gt;Paramétrage!$D$9,K29="Mut+ext")),0,ROUNDUP(I29/J29,0))</f>
        <v>1</v>
      </c>
      <c r="Q29" s="17">
        <f>IF(OR(G29="",K29="Mut+ext"),0,IF(VLOOKUP(G29,Paramétrage!$D$6:$F$27,3,0)=0,0,IF(J29="","saisir capacité",H29*P29*VLOOKUP(G29,Paramétrage!$D$6:$F$27,2,0))))</f>
        <v>10</v>
      </c>
      <c r="R29" s="33"/>
      <c r="S29" s="15">
        <f t="shared" si="1"/>
        <v>10</v>
      </c>
      <c r="T29" s="28">
        <f>IF(G29="",0,IF(ISERROR(R29+Q29*VLOOKUP(G29,Paramétrage!$D$6:$F$27,3,0))=TRUE,S29,R29+Q29*VLOOKUP(G29,Paramétrage!$D$6:$F$27,3,0)))</f>
        <v>15</v>
      </c>
      <c r="U29" s="37">
        <v>10</v>
      </c>
      <c r="V29" s="37"/>
      <c r="W29" s="37"/>
      <c r="X29" s="37"/>
      <c r="Y29" s="363">
        <f t="shared" ref="Y29:Y47" si="6">SUM(U29:X29)</f>
        <v>10</v>
      </c>
      <c r="Z29" s="424"/>
      <c r="AA29" s="422"/>
      <c r="AB29" s="423"/>
      <c r="AC29" s="27">
        <f>IF(B29="",0,IF(E29="",0,IF(SUMIF(B28:B47,B29,I28:I47)=0,0,IF(E29="Obligatoire",AD29/I29,IF(F29="",AD29/SUMIF(B28:B47,B29,I28:I47),AD29/(SUMIF(B28:B47,B29,I28:I47)/F29))))))</f>
        <v>10</v>
      </c>
      <c r="AD29" s="16">
        <f t="shared" si="5"/>
        <v>150</v>
      </c>
    </row>
    <row r="30" spans="1:30">
      <c r="A30" s="430"/>
      <c r="B30" s="412" t="s">
        <v>80</v>
      </c>
      <c r="C30" s="413" t="s">
        <v>81</v>
      </c>
      <c r="D30" s="32" t="s">
        <v>34</v>
      </c>
      <c r="E30" s="48" t="s">
        <v>35</v>
      </c>
      <c r="F30" s="30">
        <v>1</v>
      </c>
      <c r="G30" s="31" t="s">
        <v>42</v>
      </c>
      <c r="H30" s="40">
        <v>5</v>
      </c>
      <c r="I30" s="37">
        <v>15</v>
      </c>
      <c r="J30" s="37">
        <v>15</v>
      </c>
      <c r="K30" s="34" t="s">
        <v>37</v>
      </c>
      <c r="L30" s="422"/>
      <c r="M30" s="422"/>
      <c r="N30" s="422"/>
      <c r="O30" s="423"/>
      <c r="P30" s="362">
        <f>IF(OR(J30="",G30=Paramétrage!$D$9,G30=Paramétrage!$D$12,G30=Paramétrage!$D$15,G30=Paramétrage!$D$18,G30=Paramétrage!$D$22,G30=Paramétrage!$D$25,AND(G30&lt;&gt;Paramétrage!$D$9,K30="Mut+ext")),0,ROUNDUP(I30/J30,0))</f>
        <v>1</v>
      </c>
      <c r="Q30" s="17">
        <f>IF(OR(G30="",K30="Mut+ext"),0,IF(VLOOKUP(G30,Paramétrage!$D$6:$F$27,3,0)=0,0,IF(J30="","saisir capacité",H30*P30*VLOOKUP(G30,Paramétrage!$D$6:$F$27,2,0))))</f>
        <v>5</v>
      </c>
      <c r="R30" s="33"/>
      <c r="S30" s="15">
        <f t="shared" si="1"/>
        <v>5</v>
      </c>
      <c r="T30" s="28">
        <f>IF(G30="",0,IF(ISERROR(R30+Q30*VLOOKUP(G30,Paramétrage!$D$6:$F$27,3,0))=TRUE,S30,R30+Q30*VLOOKUP(G30,Paramétrage!$D$6:$F$27,3,0)))</f>
        <v>5</v>
      </c>
      <c r="U30" s="37"/>
      <c r="V30" s="37"/>
      <c r="W30" s="37">
        <v>5</v>
      </c>
      <c r="X30" s="37"/>
      <c r="Y30" s="363">
        <f t="shared" si="6"/>
        <v>5</v>
      </c>
      <c r="Z30" s="424"/>
      <c r="AA30" s="422"/>
      <c r="AB30" s="423"/>
      <c r="AC30" s="27">
        <f>IF(B30="",0,IF(E30="",0,IF(SUMIF(B29:B48,B30,I29:I48)=0,0,IF(E30="Obligatoire",AD30/I30,IF(F30="",AD30/SUMIF(B29:B48,B30,I29:I48),AD30/(SUMIF(B29:B48,B30,I29:I48)/F30))))))</f>
        <v>5</v>
      </c>
      <c r="AD30" s="16">
        <f t="shared" ref="AD30:AD41" si="7">H30*I30</f>
        <v>75</v>
      </c>
    </row>
    <row r="31" spans="1:30">
      <c r="A31" s="430"/>
      <c r="B31" s="412" t="s">
        <v>82</v>
      </c>
      <c r="C31" s="413" t="s">
        <v>83</v>
      </c>
      <c r="D31" s="32" t="s">
        <v>34</v>
      </c>
      <c r="E31" s="48" t="s">
        <v>35</v>
      </c>
      <c r="F31" s="30">
        <v>1</v>
      </c>
      <c r="G31" s="31" t="s">
        <v>36</v>
      </c>
      <c r="H31" s="40">
        <v>21</v>
      </c>
      <c r="I31" s="37">
        <v>15</v>
      </c>
      <c r="J31" s="37">
        <v>15</v>
      </c>
      <c r="K31" s="34" t="s">
        <v>37</v>
      </c>
      <c r="L31" s="422"/>
      <c r="M31" s="422"/>
      <c r="N31" s="422"/>
      <c r="O31" s="423"/>
      <c r="P31" s="362">
        <f>IF(OR(J31="",G31=Paramétrage!$D$9,G31=Paramétrage!$D$12,G31=Paramétrage!$D$15,G31=Paramétrage!$D$18,G31=Paramétrage!$D$22,G31=Paramétrage!$D$25,AND(G31&lt;&gt;Paramétrage!$D$9,K31="Mut+ext")),0,ROUNDUP(I31/J31,0))</f>
        <v>1</v>
      </c>
      <c r="Q31" s="17">
        <f>IF(OR(G31="",K31="Mut+ext"),0,IF(VLOOKUP(G31,Paramétrage!$D$6:$F$27,3,0)=0,0,IF(J31="","saisir capacité",H31*P31*VLOOKUP(G31,Paramétrage!$D$6:$F$27,2,0))))</f>
        <v>21</v>
      </c>
      <c r="R31" s="33"/>
      <c r="S31" s="15">
        <f t="shared" si="1"/>
        <v>21</v>
      </c>
      <c r="T31" s="28">
        <f>IF(G31="",0,IF(ISERROR(R31+Q31*VLOOKUP(G31,Paramétrage!$D$6:$F$27,3,0))=TRUE,S31,R31+Q31*VLOOKUP(G31,Paramétrage!$D$6:$F$27,3,0)))</f>
        <v>31.5</v>
      </c>
      <c r="U31" s="37"/>
      <c r="V31" s="37"/>
      <c r="W31" s="37">
        <v>21</v>
      </c>
      <c r="X31" s="37"/>
      <c r="Y31" s="363">
        <f t="shared" si="6"/>
        <v>21</v>
      </c>
      <c r="Z31" s="424"/>
      <c r="AA31" s="422"/>
      <c r="AB31" s="423"/>
      <c r="AC31" s="27">
        <f>IF(B31="",0,IF(E31="",0,IF(SUMIF(B30:B49,B31,I30:I49)=0,0,IF(E31="Obligatoire",AD31/I31,IF(F31="",AD31/SUMIF(B30:B49,B31,I30:I49),AD31/(SUMIF(B30:B49,B31,I30:I49)/F31))))))</f>
        <v>21</v>
      </c>
      <c r="AD31" s="16">
        <f t="shared" ref="AD31:AD37" si="8">H31*I31</f>
        <v>315</v>
      </c>
    </row>
    <row r="32" spans="1:30">
      <c r="A32" s="430"/>
      <c r="B32" s="412" t="s">
        <v>84</v>
      </c>
      <c r="C32" s="413" t="s">
        <v>44</v>
      </c>
      <c r="D32" s="32" t="s">
        <v>34</v>
      </c>
      <c r="E32" s="48" t="s">
        <v>35</v>
      </c>
      <c r="F32" s="30">
        <v>1</v>
      </c>
      <c r="G32" s="31" t="s">
        <v>42</v>
      </c>
      <c r="H32" s="40">
        <v>6</v>
      </c>
      <c r="I32" s="37">
        <v>15</v>
      </c>
      <c r="J32" s="37">
        <v>15</v>
      </c>
      <c r="K32" s="34" t="s">
        <v>37</v>
      </c>
      <c r="L32" s="422"/>
      <c r="M32" s="422"/>
      <c r="N32" s="422"/>
      <c r="O32" s="423"/>
      <c r="P32" s="362">
        <f>IF(OR(J32="",G32=Paramétrage!$D$9,G32=Paramétrage!$D$12,G32=Paramétrage!$D$15,G32=Paramétrage!$D$18,G32=Paramétrage!$D$22,G32=Paramétrage!$D$25,AND(G32&lt;&gt;Paramétrage!$D$9,K32="Mut+ext")),0,ROUNDUP(I32/J32,0))</f>
        <v>1</v>
      </c>
      <c r="Q32" s="17">
        <f>IF(OR(G32="",K32="Mut+ext"),0,IF(VLOOKUP(G32,Paramétrage!$D$6:$F$27,3,0)=0,0,IF(J32="","saisir capacité",H32*P32*VLOOKUP(G32,Paramétrage!$D$6:$F$27,2,0))))</f>
        <v>6</v>
      </c>
      <c r="R32" s="33"/>
      <c r="S32" s="15">
        <f t="shared" si="1"/>
        <v>6</v>
      </c>
      <c r="T32" s="28">
        <f>IF(G32="",0,IF(ISERROR(R32+Q32*VLOOKUP(G32,Paramétrage!$D$6:$F$27,3,0))=TRUE,S32,R32+Q32*VLOOKUP(G32,Paramétrage!$D$6:$F$27,3,0)))</f>
        <v>6</v>
      </c>
      <c r="U32" s="37">
        <v>6</v>
      </c>
      <c r="V32" s="37"/>
      <c r="W32" s="37"/>
      <c r="X32" s="37"/>
      <c r="Y32" s="363">
        <f t="shared" si="6"/>
        <v>6</v>
      </c>
      <c r="Z32" s="424"/>
      <c r="AA32" s="422"/>
      <c r="AB32" s="423"/>
      <c r="AC32" s="27">
        <f>IF(B32="",0,IF(E32="",0,IF(SUMIF(B31:B50,B32,I31:I50)=0,0,IF(E32="Obligatoire",AD32/I32,IF(F32="",AD32/SUMIF(B31:B50,B32,I31:I50),AD32/(SUMIF(B31:B50,B32,I31:I50)/F32))))))</f>
        <v>6</v>
      </c>
      <c r="AD32" s="16">
        <f t="shared" si="8"/>
        <v>90</v>
      </c>
    </row>
    <row r="33" spans="1:30">
      <c r="A33" s="430"/>
      <c r="B33" s="412" t="s">
        <v>85</v>
      </c>
      <c r="C33" s="411" t="s">
        <v>86</v>
      </c>
      <c r="D33" s="32" t="s">
        <v>34</v>
      </c>
      <c r="E33" s="48" t="s">
        <v>35</v>
      </c>
      <c r="F33" s="30">
        <v>1</v>
      </c>
      <c r="G33" s="31" t="s">
        <v>36</v>
      </c>
      <c r="H33" s="382">
        <v>20</v>
      </c>
      <c r="I33" s="37">
        <v>35</v>
      </c>
      <c r="J33" s="37">
        <v>35</v>
      </c>
      <c r="K33" s="34" t="s">
        <v>47</v>
      </c>
      <c r="L33" s="422" t="s">
        <v>48</v>
      </c>
      <c r="M33" s="422"/>
      <c r="N33" s="422"/>
      <c r="O33" s="423"/>
      <c r="P33" s="362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63">
        <f t="shared" si="6"/>
        <v>0</v>
      </c>
      <c r="Z33" s="424"/>
      <c r="AA33" s="422"/>
      <c r="AB33" s="423"/>
      <c r="AC33" s="27">
        <f>IF(B33="",0,IF(E33="",0,IF(SUMIF(B32:B63,B33,I32:I63)=0,0,IF(E33="Obligatoire",AD33/I33,IF(F33="",AD33/SUMIF(B32:B63,B33,I32:I63),AD33/(SUMIF(B32:B63,B33,I32:I63)/F33))))))</f>
        <v>20</v>
      </c>
      <c r="AD33" s="16">
        <f t="shared" ref="AD33:AD34" si="9">H33*I33</f>
        <v>700</v>
      </c>
    </row>
    <row r="34" spans="1:30">
      <c r="A34" s="430"/>
      <c r="B34" s="412" t="s">
        <v>87</v>
      </c>
      <c r="C34" s="410" t="s">
        <v>88</v>
      </c>
      <c r="D34" s="32" t="s">
        <v>34</v>
      </c>
      <c r="E34" s="48" t="s">
        <v>35</v>
      </c>
      <c r="F34" s="30">
        <v>1</v>
      </c>
      <c r="G34" s="31" t="s">
        <v>42</v>
      </c>
      <c r="H34" s="382">
        <v>42</v>
      </c>
      <c r="I34" s="37">
        <v>15</v>
      </c>
      <c r="J34" s="37">
        <v>15</v>
      </c>
      <c r="K34" s="34" t="s">
        <v>37</v>
      </c>
      <c r="L34" s="422"/>
      <c r="M34" s="422"/>
      <c r="N34" s="422"/>
      <c r="O34" s="423"/>
      <c r="P34" s="362">
        <f>IF(OR(J34="",G34=Paramétrage!$D$9,G34=Paramétrage!$D$12,G34=Paramétrage!$D$15,G34=Paramétrage!$D$18,G34=Paramétrage!$D$22,G34=Paramétrage!$D$25,AND(G34&lt;&gt;Paramétrage!$D$9,K34="Mut+ext")),0,ROUNDUP(I34/J34,0))</f>
        <v>1</v>
      </c>
      <c r="Q34" s="17">
        <f>IF(OR(G34="",K34="Mut+ext"),0,IF(VLOOKUP(G34,Paramétrage!$D$6:$F$27,3,0)=0,0,IF(J34="","saisir capacité",H34*P34*VLOOKUP(G34,Paramétrage!$D$6:$F$27,2,0))))</f>
        <v>42</v>
      </c>
      <c r="R34" s="33"/>
      <c r="S34" s="15">
        <f t="shared" si="1"/>
        <v>42</v>
      </c>
      <c r="T34" s="28">
        <f>IF(G34="",0,IF(ISERROR(R34+Q34*VLOOKUP(G34,Paramétrage!$D$6:$F$27,3,0))=TRUE,S34,R34+Q34*VLOOKUP(G34,Paramétrage!$D$6:$F$27,3,0)))</f>
        <v>42</v>
      </c>
      <c r="U34" s="37">
        <v>42</v>
      </c>
      <c r="V34" s="37"/>
      <c r="W34" s="37"/>
      <c r="X34" s="37"/>
      <c r="Y34" s="363">
        <f t="shared" si="6"/>
        <v>42</v>
      </c>
      <c r="Z34" s="424"/>
      <c r="AA34" s="422"/>
      <c r="AB34" s="423"/>
      <c r="AC34" s="27">
        <f>IF(B34="",0,IF(E34="",0,IF(SUMIF(B33:B64,B34,I33:I64)=0,0,IF(E34="Obligatoire",AD34/I34,IF(F34="",AD34/SUMIF(B33:B64,B34,I33:I64),AD34/(SUMIF(B33:B64,B34,I33:I64)/F34))))))</f>
        <v>42</v>
      </c>
      <c r="AD34" s="16">
        <f t="shared" si="9"/>
        <v>630</v>
      </c>
    </row>
    <row r="35" spans="1:30">
      <c r="A35" s="430"/>
      <c r="B35" s="414" t="s">
        <v>89</v>
      </c>
      <c r="C35" s="411" t="s">
        <v>90</v>
      </c>
      <c r="D35" s="32" t="s">
        <v>34</v>
      </c>
      <c r="E35" s="48" t="s">
        <v>35</v>
      </c>
      <c r="F35" s="30">
        <v>1</v>
      </c>
      <c r="G35" s="31" t="s">
        <v>42</v>
      </c>
      <c r="H35" s="40">
        <v>6</v>
      </c>
      <c r="I35" s="37">
        <v>35</v>
      </c>
      <c r="J35" s="37">
        <v>35</v>
      </c>
      <c r="K35" s="34" t="s">
        <v>47</v>
      </c>
      <c r="L35" s="422" t="s">
        <v>48</v>
      </c>
      <c r="M35" s="422"/>
      <c r="N35" s="422"/>
      <c r="O35" s="423"/>
      <c r="P35" s="362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3">
        <f t="shared" si="6"/>
        <v>0</v>
      </c>
      <c r="Z35" s="424"/>
      <c r="AA35" s="422"/>
      <c r="AB35" s="423"/>
      <c r="AC35" s="27">
        <f>IF(B35="",0,IF(E35="",0,IF(SUMIF(B32:B63,B35,I32:I63)=0,0,IF(E35="Obligatoire",AD35/I35,IF(F35="",AD35/SUMIF(B32:B63,B35,I32:I63),AD35/(SUMIF(B32:B63,B35,I32:I63)/F35))))))</f>
        <v>6</v>
      </c>
      <c r="AD35" s="16">
        <f t="shared" si="8"/>
        <v>210</v>
      </c>
    </row>
    <row r="36" spans="1:30">
      <c r="A36" s="430"/>
      <c r="B36" s="412" t="s">
        <v>91</v>
      </c>
      <c r="C36" s="410" t="s">
        <v>92</v>
      </c>
      <c r="D36" s="32" t="s">
        <v>34</v>
      </c>
      <c r="E36" s="48" t="s">
        <v>35</v>
      </c>
      <c r="F36" s="30">
        <v>1</v>
      </c>
      <c r="G36" s="31" t="s">
        <v>42</v>
      </c>
      <c r="H36" s="40">
        <v>3</v>
      </c>
      <c r="I36" s="37">
        <v>15</v>
      </c>
      <c r="J36" s="37">
        <v>15</v>
      </c>
      <c r="K36" s="34" t="s">
        <v>37</v>
      </c>
      <c r="L36" s="422"/>
      <c r="M36" s="422"/>
      <c r="N36" s="422"/>
      <c r="O36" s="423"/>
      <c r="P36" s="362">
        <f>IF(OR(J36="",G36=Paramétrage!$D$9,G36=Paramétrage!$D$12,G36=Paramétrage!$D$15,G36=Paramétrage!$D$18,G36=Paramétrage!$D$22,G36=Paramétrage!$D$25,AND(G36&lt;&gt;Paramétrage!$D$9,K36="Mut+ext")),0,ROUNDUP(I36/J36,0))</f>
        <v>1</v>
      </c>
      <c r="Q36" s="17">
        <f>IF(OR(G36="",K36="Mut+ext"),0,IF(VLOOKUP(G36,Paramétrage!$D$6:$F$27,3,0)=0,0,IF(J36="","saisir capacité",H36*P36*VLOOKUP(G36,Paramétrage!$D$6:$F$27,2,0))))</f>
        <v>3</v>
      </c>
      <c r="R36" s="33"/>
      <c r="S36" s="15">
        <f t="shared" si="1"/>
        <v>3</v>
      </c>
      <c r="T36" s="28">
        <f>IF(G36="",0,IF(ISERROR(R36+Q36*VLOOKUP(G36,Paramétrage!$D$6:$F$27,3,0))=TRUE,S36,R36+Q36*VLOOKUP(G36,Paramétrage!$D$6:$F$27,3,0)))</f>
        <v>3</v>
      </c>
      <c r="U36" s="37">
        <v>3</v>
      </c>
      <c r="V36" s="37"/>
      <c r="W36" s="37"/>
      <c r="X36" s="37"/>
      <c r="Y36" s="363">
        <f t="shared" si="6"/>
        <v>3</v>
      </c>
      <c r="Z36" s="424"/>
      <c r="AA36" s="422"/>
      <c r="AB36" s="423"/>
      <c r="AC36" s="27">
        <f>IF(B36="",0,IF(E36="",0,IF(SUMIF(B35:B64,B36,I35:I64)=0,0,IF(E36="Obligatoire",AD36/I36,IF(F36="",AD36/SUMIF(B35:B64,B36,I35:I64),AD36/(SUMIF(B35:B64,B36,I35:I64)/F36))))))</f>
        <v>3</v>
      </c>
      <c r="AD36" s="16">
        <f t="shared" si="8"/>
        <v>45</v>
      </c>
    </row>
    <row r="37" spans="1:30">
      <c r="A37" s="430"/>
      <c r="B37" s="412" t="s">
        <v>93</v>
      </c>
      <c r="C37" s="413" t="s">
        <v>94</v>
      </c>
      <c r="D37" s="32" t="s">
        <v>34</v>
      </c>
      <c r="E37" s="48" t="s">
        <v>35</v>
      </c>
      <c r="F37" s="30">
        <v>1</v>
      </c>
      <c r="G37" s="31" t="s">
        <v>95</v>
      </c>
      <c r="H37" s="40">
        <v>450</v>
      </c>
      <c r="I37" s="37">
        <v>15</v>
      </c>
      <c r="J37" s="37"/>
      <c r="K37" s="34" t="s">
        <v>37</v>
      </c>
      <c r="L37" s="422"/>
      <c r="M37" s="422"/>
      <c r="N37" s="422"/>
      <c r="O37" s="423"/>
      <c r="P37" s="362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3">
        <f t="shared" si="6"/>
        <v>0</v>
      </c>
      <c r="Z37" s="424"/>
      <c r="AA37" s="422"/>
      <c r="AB37" s="423"/>
      <c r="AC37" s="27">
        <f>IF(B37="",0,IF(E37="",0,IF(SUMIF(B36:B65,B37,I36:I65)=0,0,IF(E37="Obligatoire",AD37/I37,IF(F37="",AD37/SUMIF(B36:B65,B37,I36:I65),AD37/(SUMIF(B36:B65,B37,I36:I65)/F37))))))</f>
        <v>450</v>
      </c>
      <c r="AD37" s="16">
        <f t="shared" si="8"/>
        <v>6750</v>
      </c>
    </row>
    <row r="38" spans="1:30">
      <c r="A38" s="430"/>
      <c r="B38" s="415" t="s">
        <v>96</v>
      </c>
      <c r="C38" s="413" t="s">
        <v>97</v>
      </c>
      <c r="D38" s="32" t="s">
        <v>34</v>
      </c>
      <c r="E38" s="48" t="s">
        <v>35</v>
      </c>
      <c r="F38" s="30">
        <v>1</v>
      </c>
      <c r="G38" s="31" t="s">
        <v>95</v>
      </c>
      <c r="H38" s="416"/>
      <c r="I38" s="37">
        <v>15</v>
      </c>
      <c r="J38" s="44"/>
      <c r="K38" s="34" t="s">
        <v>37</v>
      </c>
      <c r="L38" s="422"/>
      <c r="M38" s="422"/>
      <c r="N38" s="422"/>
      <c r="O38" s="423"/>
      <c r="P38" s="362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>
        <v>120</v>
      </c>
      <c r="S38" s="15">
        <f t="shared" si="1"/>
        <v>120</v>
      </c>
      <c r="T38" s="28">
        <f>IF(G38="",0,IF(ISERROR(R38+Q38*VLOOKUP(G38,Paramétrage!$D$6:$F$27,3,0))=TRUE,S38,R38+Q38*VLOOKUP(G38,Paramétrage!$D$6:$F$27,3,0)))</f>
        <v>120</v>
      </c>
      <c r="U38" s="37">
        <v>120</v>
      </c>
      <c r="V38" s="37"/>
      <c r="W38" s="37"/>
      <c r="X38" s="37"/>
      <c r="Y38" s="363">
        <f t="shared" si="6"/>
        <v>120</v>
      </c>
      <c r="Z38" s="424"/>
      <c r="AA38" s="422"/>
      <c r="AB38" s="423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>
      <c r="A39" s="430"/>
      <c r="B39" s="415" t="s">
        <v>98</v>
      </c>
      <c r="C39" s="410" t="s">
        <v>99</v>
      </c>
      <c r="D39" s="32" t="s">
        <v>34</v>
      </c>
      <c r="E39" s="48" t="s">
        <v>35</v>
      </c>
      <c r="F39" s="30">
        <v>1</v>
      </c>
      <c r="G39" s="31" t="s">
        <v>100</v>
      </c>
      <c r="H39" s="40"/>
      <c r="I39" s="37">
        <v>15</v>
      </c>
      <c r="J39" s="44"/>
      <c r="K39" s="34" t="s">
        <v>37</v>
      </c>
      <c r="L39" s="422"/>
      <c r="M39" s="422"/>
      <c r="N39" s="422"/>
      <c r="O39" s="423"/>
      <c r="P39" s="362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3">
        <f t="shared" si="6"/>
        <v>0</v>
      </c>
      <c r="Z39" s="424"/>
      <c r="AA39" s="422"/>
      <c r="AB39" s="423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>
      <c r="A40" s="430"/>
      <c r="B40" s="51"/>
      <c r="C40" s="29"/>
      <c r="D40" s="48"/>
      <c r="E40" s="32"/>
      <c r="F40" s="30"/>
      <c r="G40" s="31"/>
      <c r="H40" s="40"/>
      <c r="I40" s="37"/>
      <c r="J40" s="44"/>
      <c r="K40" s="34"/>
      <c r="L40" s="422"/>
      <c r="M40" s="422"/>
      <c r="N40" s="422"/>
      <c r="O40" s="423"/>
      <c r="P40" s="362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3">
        <f t="shared" si="6"/>
        <v>0</v>
      </c>
      <c r="Z40" s="424"/>
      <c r="AA40" s="422"/>
      <c r="AB40" s="423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>
      <c r="A41" s="430"/>
      <c r="B41" s="51"/>
      <c r="C41" s="29"/>
      <c r="D41" s="48"/>
      <c r="E41" s="32"/>
      <c r="F41" s="30"/>
      <c r="G41" s="31"/>
      <c r="H41" s="40"/>
      <c r="I41" s="37"/>
      <c r="J41" s="44"/>
      <c r="K41" s="34"/>
      <c r="L41" s="422"/>
      <c r="M41" s="422"/>
      <c r="N41" s="422"/>
      <c r="O41" s="423"/>
      <c r="P41" s="362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3">
        <f t="shared" si="6"/>
        <v>0</v>
      </c>
      <c r="Z41" s="424"/>
      <c r="AA41" s="422"/>
      <c r="AB41" s="423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>
      <c r="A42" s="430"/>
      <c r="B42" s="51"/>
      <c r="C42" s="29"/>
      <c r="D42" s="48"/>
      <c r="E42" s="32"/>
      <c r="F42" s="30"/>
      <c r="G42" s="31"/>
      <c r="H42" s="40"/>
      <c r="I42" s="37"/>
      <c r="J42" s="44"/>
      <c r="K42" s="34"/>
      <c r="L42" s="422"/>
      <c r="M42" s="422"/>
      <c r="N42" s="422"/>
      <c r="O42" s="423"/>
      <c r="P42" s="362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3">
        <f t="shared" si="6"/>
        <v>0</v>
      </c>
      <c r="Z42" s="424"/>
      <c r="AA42" s="422"/>
      <c r="AB42" s="423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>
      <c r="A43" s="430"/>
      <c r="B43" s="52"/>
      <c r="C43" s="29"/>
      <c r="D43" s="48"/>
      <c r="E43" s="32"/>
      <c r="F43" s="30"/>
      <c r="G43" s="31"/>
      <c r="H43" s="40"/>
      <c r="I43" s="37"/>
      <c r="J43" s="44"/>
      <c r="K43" s="34"/>
      <c r="L43" s="422"/>
      <c r="M43" s="422"/>
      <c r="N43" s="422"/>
      <c r="O43" s="423"/>
      <c r="P43" s="362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3">
        <f t="shared" si="6"/>
        <v>0</v>
      </c>
      <c r="Z43" s="424"/>
      <c r="AA43" s="422"/>
      <c r="AB43" s="423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>
      <c r="A44" s="430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22"/>
      <c r="M44" s="422"/>
      <c r="N44" s="422"/>
      <c r="O44" s="423"/>
      <c r="P44" s="362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3">
        <f t="shared" si="6"/>
        <v>0</v>
      </c>
      <c r="Z44" s="424"/>
      <c r="AA44" s="422"/>
      <c r="AB44" s="423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>
      <c r="A45" s="430"/>
      <c r="B45" s="51"/>
      <c r="C45" s="29"/>
      <c r="D45" s="48"/>
      <c r="E45" s="32"/>
      <c r="F45" s="30"/>
      <c r="G45" s="31"/>
      <c r="H45" s="40"/>
      <c r="I45" s="37"/>
      <c r="J45" s="44"/>
      <c r="K45" s="34"/>
      <c r="L45" s="422"/>
      <c r="M45" s="422"/>
      <c r="N45" s="422"/>
      <c r="O45" s="423"/>
      <c r="P45" s="362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3">
        <f t="shared" si="6"/>
        <v>0</v>
      </c>
      <c r="Z45" s="424"/>
      <c r="AA45" s="422"/>
      <c r="AB45" s="423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>
      <c r="A46" s="430"/>
      <c r="B46" s="51"/>
      <c r="C46" s="29"/>
      <c r="D46" s="48"/>
      <c r="E46" s="32"/>
      <c r="F46" s="30"/>
      <c r="G46" s="31"/>
      <c r="H46" s="40"/>
      <c r="I46" s="37"/>
      <c r="J46" s="44"/>
      <c r="K46" s="34"/>
      <c r="L46" s="422"/>
      <c r="M46" s="422"/>
      <c r="N46" s="422"/>
      <c r="O46" s="423"/>
      <c r="P46" s="362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3">
        <f t="shared" si="6"/>
        <v>0</v>
      </c>
      <c r="Z46" s="424"/>
      <c r="AA46" s="422"/>
      <c r="AB46" s="423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>
      <c r="A47" s="430"/>
      <c r="B47" s="51"/>
      <c r="C47" s="29"/>
      <c r="D47" s="48"/>
      <c r="E47" s="32"/>
      <c r="F47" s="30"/>
      <c r="G47" s="31"/>
      <c r="H47" s="40"/>
      <c r="I47" s="37"/>
      <c r="J47" s="44"/>
      <c r="K47" s="34"/>
      <c r="L47" s="422"/>
      <c r="M47" s="422"/>
      <c r="N47" s="422"/>
      <c r="O47" s="423"/>
      <c r="P47" s="362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3">
        <f t="shared" si="6"/>
        <v>0</v>
      </c>
      <c r="Z47" s="424"/>
      <c r="AA47" s="422"/>
      <c r="AB47" s="423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5" thickBot="1">
      <c r="A48" s="431"/>
      <c r="B48" s="53"/>
      <c r="C48" s="63"/>
      <c r="D48" s="19"/>
      <c r="E48" s="398"/>
      <c r="F48" s="20"/>
      <c r="G48" s="18"/>
      <c r="H48" s="46">
        <f>AC48</f>
        <v>852</v>
      </c>
      <c r="I48" s="41"/>
      <c r="J48" s="45"/>
      <c r="K48" s="50"/>
      <c r="L48" s="59"/>
      <c r="M48" s="59"/>
      <c r="N48" s="59"/>
      <c r="O48" s="60"/>
      <c r="P48" s="385"/>
      <c r="Q48" s="386">
        <f>SUM(Q8:Q47)</f>
        <v>241</v>
      </c>
      <c r="R48" s="358">
        <f>SUM(R8:R47)</f>
        <v>120</v>
      </c>
      <c r="S48" s="387">
        <f>SUM(S8:S47)</f>
        <v>361</v>
      </c>
      <c r="T48" s="64">
        <f>SUM(T8:T47)</f>
        <v>421.5</v>
      </c>
      <c r="U48" s="387">
        <f t="shared" ref="U48:Y48" si="12">SUM(U8:U47)</f>
        <v>250</v>
      </c>
      <c r="V48" s="387">
        <f t="shared" si="12"/>
        <v>0</v>
      </c>
      <c r="W48" s="387">
        <f t="shared" si="12"/>
        <v>111</v>
      </c>
      <c r="X48" s="387">
        <f t="shared" si="12"/>
        <v>0</v>
      </c>
      <c r="Y48" s="387">
        <f t="shared" si="12"/>
        <v>361</v>
      </c>
      <c r="Z48" s="369"/>
      <c r="AA48" s="61"/>
      <c r="AB48" s="370"/>
      <c r="AC48" s="62">
        <f>SUM(AC8:AC47)</f>
        <v>852</v>
      </c>
      <c r="AD48" s="26">
        <f>SUM(AD8:AD47)</f>
        <v>16000</v>
      </c>
    </row>
    <row r="49" spans="1:30" ht="14.45" customHeight="1">
      <c r="A49" s="429" t="s">
        <v>101</v>
      </c>
      <c r="B49" s="51"/>
      <c r="C49" s="32"/>
      <c r="D49" s="48"/>
      <c r="E49" s="32"/>
      <c r="F49" s="30"/>
      <c r="G49" s="31"/>
      <c r="H49" s="40"/>
      <c r="I49" s="378"/>
      <c r="J49" s="54"/>
      <c r="K49" s="49"/>
      <c r="L49" s="425"/>
      <c r="M49" s="425"/>
      <c r="N49" s="425"/>
      <c r="O49" s="426"/>
      <c r="P49" s="362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5"/>
      <c r="S49" s="15">
        <f t="shared" si="1"/>
        <v>0</v>
      </c>
      <c r="T49" s="56">
        <f>IF(G49="",0,IF(ISERROR(R49+Q49*VLOOKUP(G49,Paramétrage!$D$6:$F$27,3,0))=TRUE,S49,R49+Q49*VLOOKUP(G49,Paramétrage!$D$6:$F$27,3,0)))</f>
        <v>0</v>
      </c>
      <c r="U49" s="36"/>
      <c r="V49" s="36"/>
      <c r="W49" s="36"/>
      <c r="X49" s="36"/>
      <c r="Y49" s="363">
        <f>SUM(U49:X49)</f>
        <v>0</v>
      </c>
      <c r="Z49" s="449"/>
      <c r="AA49" s="425"/>
      <c r="AB49" s="426"/>
      <c r="AC49" s="57">
        <f>IF(B49="",0,IF(E49="",0,IF(SUMIF(B49:B68,B49,I49:I68)=0,0,IF(E49="Obligatoire",AD49/I49,IF(F49="",AD49/SUMIF(B49:B68,B49,I49:I68),AD49/(SUMIF(B49:B68,B49,I49:I68)/F49))))))</f>
        <v>0</v>
      </c>
      <c r="AD49" s="58">
        <f>H49*I49</f>
        <v>0</v>
      </c>
    </row>
    <row r="50" spans="1:30">
      <c r="A50" s="430"/>
      <c r="B50" s="51"/>
      <c r="C50" s="32"/>
      <c r="D50" s="48"/>
      <c r="E50" s="32"/>
      <c r="F50" s="30"/>
      <c r="G50" s="31"/>
      <c r="H50" s="40"/>
      <c r="I50" s="378"/>
      <c r="J50" s="44"/>
      <c r="K50" s="34"/>
      <c r="L50" s="422"/>
      <c r="M50" s="422"/>
      <c r="N50" s="422"/>
      <c r="O50" s="423"/>
      <c r="P50" s="362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3"/>
      <c r="S50" s="15">
        <f t="shared" si="1"/>
        <v>0</v>
      </c>
      <c r="T50" s="28">
        <f>IF(G50="",0,IF(ISERROR(R50+Q50*VLOOKUP(G50,Paramétrage!$D$6:$F$27,3,0))=TRUE,S50,R50+Q50*VLOOKUP(G50,Paramétrage!$D$6:$F$27,3,0)))</f>
        <v>0</v>
      </c>
      <c r="U50" s="37"/>
      <c r="V50" s="37"/>
      <c r="W50" s="37"/>
      <c r="X50" s="37"/>
      <c r="Y50" s="363">
        <f t="shared" ref="Y50:Y68" si="13">SUM(U50:X50)</f>
        <v>0</v>
      </c>
      <c r="Z50" s="424"/>
      <c r="AA50" s="422"/>
      <c r="AB50" s="423"/>
      <c r="AC50" s="27">
        <f>IF(B50="",0,IF(E50="",0,IF(SUMIF(B49:B68,B50,I49:I68)=0,0,IF(E50="Obligatoire",AD50/I50,IF(F50="",AD50/SUMIF(B49:B68,B50,I49:I68),AD50/(SUMIF(B49:B68,B50,I49:I68)/F50))))))</f>
        <v>0</v>
      </c>
      <c r="AD50" s="16">
        <f>H50*I50</f>
        <v>0</v>
      </c>
    </row>
    <row r="51" spans="1:30">
      <c r="A51" s="430"/>
      <c r="B51" s="51"/>
      <c r="C51" s="32"/>
      <c r="D51" s="48"/>
      <c r="E51" s="32"/>
      <c r="F51" s="30"/>
      <c r="G51" s="31"/>
      <c r="H51" s="40"/>
      <c r="I51" s="378"/>
      <c r="J51" s="44"/>
      <c r="K51" s="34"/>
      <c r="L51" s="422"/>
      <c r="M51" s="422"/>
      <c r="N51" s="422"/>
      <c r="O51" s="423"/>
      <c r="P51" s="362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3"/>
      <c r="S51" s="15">
        <f t="shared" si="1"/>
        <v>0</v>
      </c>
      <c r="T51" s="28">
        <f>IF(G51="",0,IF(ISERROR(R51+Q51*VLOOKUP(G51,Paramétrage!$D$6:$F$27,3,0))=TRUE,S51,R51+Q51*VLOOKUP(G51,Paramétrage!$D$6:$F$27,3,0)))</f>
        <v>0</v>
      </c>
      <c r="U51" s="37"/>
      <c r="V51" s="37"/>
      <c r="W51" s="37"/>
      <c r="X51" s="37"/>
      <c r="Y51" s="363">
        <f t="shared" si="13"/>
        <v>0</v>
      </c>
      <c r="Z51" s="424"/>
      <c r="AA51" s="422"/>
      <c r="AB51" s="423"/>
      <c r="AC51" s="27">
        <f>IF(B51="",0,IF(E51="",0,IF(SUMIF(B50:B68,B51,I50:I68)=0,0,IF(E51="Obligatoire",AD51/I51,IF(F51="",AD51/SUMIF(B50:B68,B51,I50:I68),AD51/(SUMIF(B50:B68,B51,I50:I68)/F51))))))</f>
        <v>0</v>
      </c>
      <c r="AD51" s="16">
        <f t="shared" ref="AD51:AD62" si="14">H51*I51</f>
        <v>0</v>
      </c>
    </row>
    <row r="52" spans="1:30">
      <c r="A52" s="430"/>
      <c r="B52" s="51"/>
      <c r="C52" s="29"/>
      <c r="D52" s="48"/>
      <c r="E52" s="32"/>
      <c r="F52" s="30"/>
      <c r="G52" s="31"/>
      <c r="H52" s="40"/>
      <c r="I52" s="378"/>
      <c r="J52" s="44"/>
      <c r="K52" s="34"/>
      <c r="L52" s="422"/>
      <c r="M52" s="422"/>
      <c r="N52" s="422"/>
      <c r="O52" s="423"/>
      <c r="P52" s="362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3"/>
      <c r="S52" s="15">
        <f t="shared" si="1"/>
        <v>0</v>
      </c>
      <c r="T52" s="28">
        <f>IF(G52="",0,IF(ISERROR(R52+Q52*VLOOKUP(G52,Paramétrage!$D$6:$F$27,3,0))=TRUE,S52,R52+Q52*VLOOKUP(G52,Paramétrage!$D$6:$F$27,3,0)))</f>
        <v>0</v>
      </c>
      <c r="U52" s="37"/>
      <c r="V52" s="37"/>
      <c r="W52" s="37"/>
      <c r="X52" s="37"/>
      <c r="Y52" s="363">
        <f t="shared" si="13"/>
        <v>0</v>
      </c>
      <c r="Z52" s="424"/>
      <c r="AA52" s="422"/>
      <c r="AB52" s="423"/>
      <c r="AC52" s="27">
        <f>IF(B52="",0,IF(E52="",0,IF(SUMIF(B51:B69,B52,I51:I69)=0,0,IF(E52="Obligatoire",AD52/I52,IF(F52="",AD52/SUMIF(B51:B69,B52,I51:I69),AD52/(SUMIF(B51:B69,B52,I51:I69)/F52))))))</f>
        <v>0</v>
      </c>
      <c r="AD52" s="16">
        <f t="shared" si="14"/>
        <v>0</v>
      </c>
    </row>
    <row r="53" spans="1:30">
      <c r="A53" s="430"/>
      <c r="B53" s="51"/>
      <c r="C53" s="29"/>
      <c r="D53" s="48"/>
      <c r="E53" s="32"/>
      <c r="F53" s="30"/>
      <c r="G53" s="31"/>
      <c r="H53" s="40"/>
      <c r="I53" s="378"/>
      <c r="J53" s="44"/>
      <c r="K53" s="34"/>
      <c r="L53" s="422"/>
      <c r="M53" s="422"/>
      <c r="N53" s="422"/>
      <c r="O53" s="423"/>
      <c r="P53" s="362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3"/>
      <c r="S53" s="15">
        <f t="shared" si="1"/>
        <v>0</v>
      </c>
      <c r="T53" s="28">
        <f>IF(G53="",0,IF(ISERROR(R53+Q53*VLOOKUP(G53,Paramétrage!$D$6:$F$27,3,0))=TRUE,S53,R53+Q53*VLOOKUP(G53,Paramétrage!$D$6:$F$27,3,0)))</f>
        <v>0</v>
      </c>
      <c r="U53" s="37"/>
      <c r="V53" s="37"/>
      <c r="W53" s="37"/>
      <c r="X53" s="37"/>
      <c r="Y53" s="363">
        <f t="shared" si="13"/>
        <v>0</v>
      </c>
      <c r="Z53" s="424"/>
      <c r="AA53" s="422"/>
      <c r="AB53" s="423"/>
      <c r="AC53" s="27">
        <f>IF(B53="",0,IF(E53="",0,IF(SUMIF(B52:B70,B53,I52:I70)=0,0,IF(E53="Obligatoire",AD53/I53,IF(F53="",AD53/SUMIF(B52:B70,B53,I52:I70),AD53/(SUMIF(B52:B70,B53,I52:I70)/F53))))))</f>
        <v>0</v>
      </c>
      <c r="AD53" s="16">
        <f t="shared" si="14"/>
        <v>0</v>
      </c>
    </row>
    <row r="54" spans="1:30">
      <c r="A54" s="430"/>
      <c r="B54" s="51"/>
      <c r="C54" s="29"/>
      <c r="D54" s="48"/>
      <c r="E54" s="32"/>
      <c r="F54" s="30"/>
      <c r="G54" s="31"/>
      <c r="H54" s="40"/>
      <c r="I54" s="378"/>
      <c r="J54" s="44"/>
      <c r="K54" s="34"/>
      <c r="L54" s="422"/>
      <c r="M54" s="422"/>
      <c r="N54" s="422"/>
      <c r="O54" s="423"/>
      <c r="P54" s="362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3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7"/>
      <c r="V54" s="37"/>
      <c r="W54" s="37"/>
      <c r="X54" s="37"/>
      <c r="Y54" s="363">
        <f t="shared" si="13"/>
        <v>0</v>
      </c>
      <c r="Z54" s="424"/>
      <c r="AA54" s="422"/>
      <c r="AB54" s="423"/>
      <c r="AC54" s="27">
        <f>IF(B54="",0,IF(E54="",0,IF(SUMIF(B53:B71,B54,I53:I71)=0,0,IF(E54="Obligatoire",AD54/I54,IF(F54="",AD54/SUMIF(B53:B71,B54,I53:I71),AD54/(SUMIF(B53:B71,B54,I53:I71)/F54))))))</f>
        <v>0</v>
      </c>
      <c r="AD54" s="16">
        <f t="shared" si="14"/>
        <v>0</v>
      </c>
    </row>
    <row r="55" spans="1:30">
      <c r="A55" s="430"/>
      <c r="B55" s="51"/>
      <c r="C55" s="29"/>
      <c r="D55" s="48"/>
      <c r="E55" s="32"/>
      <c r="F55" s="30"/>
      <c r="G55" s="31"/>
      <c r="H55" s="40"/>
      <c r="I55" s="378"/>
      <c r="J55" s="44"/>
      <c r="K55" s="34"/>
      <c r="L55" s="422"/>
      <c r="M55" s="422"/>
      <c r="N55" s="422"/>
      <c r="O55" s="423"/>
      <c r="P55" s="362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3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7"/>
      <c r="V55" s="37"/>
      <c r="W55" s="37"/>
      <c r="X55" s="37"/>
      <c r="Y55" s="363">
        <f t="shared" si="13"/>
        <v>0</v>
      </c>
      <c r="Z55" s="424"/>
      <c r="AA55" s="422"/>
      <c r="AB55" s="423"/>
      <c r="AC55" s="27">
        <f t="shared" ref="AC55:AC60" si="15">IF(B55="",0,IF(E55="",0,IF(SUMIF(B54:B84,B55,I54:I84)=0,0,IF(E55="Obligatoire",AD55/I55,IF(F55="",AD55/SUMIF(B54:B84,B55,I54:I84),AD55/(SUMIF(B54:B84,B55,I54:I84)/F55))))))</f>
        <v>0</v>
      </c>
      <c r="AD55" s="16">
        <f t="shared" si="14"/>
        <v>0</v>
      </c>
    </row>
    <row r="56" spans="1:30">
      <c r="A56" s="430"/>
      <c r="B56" s="51"/>
      <c r="C56" s="29"/>
      <c r="D56" s="48"/>
      <c r="E56" s="32"/>
      <c r="F56" s="30"/>
      <c r="G56" s="31"/>
      <c r="H56" s="40"/>
      <c r="I56" s="378"/>
      <c r="J56" s="44"/>
      <c r="K56" s="34"/>
      <c r="L56" s="422"/>
      <c r="M56" s="422"/>
      <c r="N56" s="422"/>
      <c r="O56" s="423"/>
      <c r="P56" s="362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3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37"/>
      <c r="V56" s="37"/>
      <c r="W56" s="37"/>
      <c r="X56" s="37"/>
      <c r="Y56" s="363">
        <f t="shared" si="13"/>
        <v>0</v>
      </c>
      <c r="Z56" s="424"/>
      <c r="AA56" s="422"/>
      <c r="AB56" s="423"/>
      <c r="AC56" s="27">
        <f t="shared" si="15"/>
        <v>0</v>
      </c>
      <c r="AD56" s="16">
        <f t="shared" si="14"/>
        <v>0</v>
      </c>
    </row>
    <row r="57" spans="1:30">
      <c r="A57" s="430"/>
      <c r="B57" s="51"/>
      <c r="C57" s="29"/>
      <c r="D57" s="48"/>
      <c r="E57" s="32"/>
      <c r="F57" s="30"/>
      <c r="G57" s="31"/>
      <c r="H57" s="40"/>
      <c r="I57" s="37"/>
      <c r="J57" s="44"/>
      <c r="K57" s="34"/>
      <c r="L57" s="422"/>
      <c r="M57" s="422"/>
      <c r="N57" s="422"/>
      <c r="O57" s="423"/>
      <c r="P57" s="362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3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7"/>
      <c r="V57" s="37"/>
      <c r="W57" s="37"/>
      <c r="X57" s="37"/>
      <c r="Y57" s="363">
        <f t="shared" si="13"/>
        <v>0</v>
      </c>
      <c r="Z57" s="424"/>
      <c r="AA57" s="422"/>
      <c r="AB57" s="423"/>
      <c r="AC57" s="27">
        <f t="shared" si="15"/>
        <v>0</v>
      </c>
      <c r="AD57" s="16">
        <f t="shared" si="14"/>
        <v>0</v>
      </c>
    </row>
    <row r="58" spans="1:30">
      <c r="A58" s="430"/>
      <c r="B58" s="51"/>
      <c r="C58" s="29"/>
      <c r="D58" s="48"/>
      <c r="E58" s="29"/>
      <c r="F58" s="30"/>
      <c r="G58" s="31"/>
      <c r="H58" s="40"/>
      <c r="I58" s="37"/>
      <c r="J58" s="44"/>
      <c r="K58" s="34"/>
      <c r="L58" s="422"/>
      <c r="M58" s="422"/>
      <c r="N58" s="422"/>
      <c r="O58" s="423"/>
      <c r="P58" s="362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7"/>
      <c r="V58" s="37"/>
      <c r="W58" s="37"/>
      <c r="X58" s="37"/>
      <c r="Y58" s="363">
        <f t="shared" si="13"/>
        <v>0</v>
      </c>
      <c r="Z58" s="424"/>
      <c r="AA58" s="422"/>
      <c r="AB58" s="423"/>
      <c r="AC58" s="27">
        <f t="shared" si="15"/>
        <v>0</v>
      </c>
      <c r="AD58" s="16">
        <f t="shared" si="14"/>
        <v>0</v>
      </c>
    </row>
    <row r="59" spans="1:30">
      <c r="A59" s="430"/>
      <c r="B59" s="51"/>
      <c r="C59" s="29"/>
      <c r="D59" s="48"/>
      <c r="E59" s="32"/>
      <c r="F59" s="30"/>
      <c r="G59" s="31"/>
      <c r="H59" s="40"/>
      <c r="I59" s="378"/>
      <c r="J59" s="44"/>
      <c r="K59" s="34"/>
      <c r="L59" s="422"/>
      <c r="M59" s="422"/>
      <c r="N59" s="422"/>
      <c r="O59" s="423"/>
      <c r="P59" s="362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3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7"/>
      <c r="V59" s="37"/>
      <c r="W59" s="37"/>
      <c r="X59" s="37"/>
      <c r="Y59" s="363">
        <f t="shared" si="13"/>
        <v>0</v>
      </c>
      <c r="Z59" s="424"/>
      <c r="AA59" s="422"/>
      <c r="AB59" s="423"/>
      <c r="AC59" s="27">
        <f t="shared" si="15"/>
        <v>0</v>
      </c>
      <c r="AD59" s="16">
        <f t="shared" si="14"/>
        <v>0</v>
      </c>
    </row>
    <row r="60" spans="1:30">
      <c r="A60" s="430"/>
      <c r="B60" s="51"/>
      <c r="C60" s="29"/>
      <c r="D60" s="48"/>
      <c r="E60" s="32"/>
      <c r="F60" s="30"/>
      <c r="G60" s="31"/>
      <c r="H60" s="40"/>
      <c r="I60" s="37"/>
      <c r="J60" s="44"/>
      <c r="K60" s="34"/>
      <c r="L60" s="422"/>
      <c r="M60" s="422"/>
      <c r="N60" s="422"/>
      <c r="O60" s="423"/>
      <c r="P60" s="362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7"/>
      <c r="V60" s="37"/>
      <c r="W60" s="37"/>
      <c r="X60" s="37"/>
      <c r="Y60" s="363">
        <f t="shared" si="13"/>
        <v>0</v>
      </c>
      <c r="Z60" s="424"/>
      <c r="AA60" s="422"/>
      <c r="AB60" s="423"/>
      <c r="AC60" s="27">
        <f t="shared" si="15"/>
        <v>0</v>
      </c>
      <c r="AD60" s="16">
        <f t="shared" si="14"/>
        <v>0</v>
      </c>
    </row>
    <row r="61" spans="1:30">
      <c r="A61" s="430"/>
      <c r="B61" s="51"/>
      <c r="C61" s="29"/>
      <c r="D61" s="48"/>
      <c r="E61" s="32"/>
      <c r="F61" s="30"/>
      <c r="G61" s="31"/>
      <c r="H61" s="40"/>
      <c r="I61" s="37"/>
      <c r="J61" s="44"/>
      <c r="K61" s="34"/>
      <c r="L61" s="422"/>
      <c r="M61" s="422"/>
      <c r="N61" s="422"/>
      <c r="O61" s="423"/>
      <c r="P61" s="362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7"/>
      <c r="V61" s="37"/>
      <c r="W61" s="37"/>
      <c r="X61" s="37"/>
      <c r="Y61" s="363">
        <f t="shared" si="13"/>
        <v>0</v>
      </c>
      <c r="Z61" s="424"/>
      <c r="AA61" s="422"/>
      <c r="AB61" s="423"/>
      <c r="AC61" s="27">
        <f>IF(B61="",0,IF(E61="",0,IF(SUMIF(B60:B89,B61,I60:I89)=0,0,IF(E61="Obligatoire",AD61/I61,IF(F61="",AD61/SUMIF(B60:B89,B61,I60:I89),AD61/(SUMIF(B60:B89,B61,I60:I89)/F61))))))</f>
        <v>0</v>
      </c>
      <c r="AD61" s="16">
        <f t="shared" si="14"/>
        <v>0</v>
      </c>
    </row>
    <row r="62" spans="1:30">
      <c r="A62" s="430"/>
      <c r="B62" s="51"/>
      <c r="C62" s="29"/>
      <c r="D62" s="48"/>
      <c r="E62" s="32"/>
      <c r="F62" s="30"/>
      <c r="G62" s="31"/>
      <c r="H62" s="40"/>
      <c r="I62" s="37"/>
      <c r="J62" s="44"/>
      <c r="K62" s="34"/>
      <c r="L62" s="422"/>
      <c r="M62" s="422"/>
      <c r="N62" s="422"/>
      <c r="O62" s="423"/>
      <c r="P62" s="362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63">
        <f t="shared" si="13"/>
        <v>0</v>
      </c>
      <c r="Z62" s="424"/>
      <c r="AA62" s="422"/>
      <c r="AB62" s="423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4"/>
        <v>0</v>
      </c>
    </row>
    <row r="63" spans="1:30">
      <c r="A63" s="430"/>
      <c r="B63" s="51"/>
      <c r="C63" s="29"/>
      <c r="D63" s="48"/>
      <c r="E63" s="32"/>
      <c r="F63" s="30"/>
      <c r="G63" s="31"/>
      <c r="H63" s="40"/>
      <c r="I63" s="37"/>
      <c r="J63" s="44"/>
      <c r="K63" s="34"/>
      <c r="L63" s="422"/>
      <c r="M63" s="422"/>
      <c r="N63" s="422"/>
      <c r="O63" s="423"/>
      <c r="P63" s="362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3">
        <f t="shared" si="13"/>
        <v>0</v>
      </c>
      <c r="Z63" s="424"/>
      <c r="AA63" s="422"/>
      <c r="AB63" s="423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>
      <c r="A64" s="430"/>
      <c r="B64" s="52"/>
      <c r="C64" s="29"/>
      <c r="D64" s="48"/>
      <c r="E64" s="32"/>
      <c r="F64" s="30"/>
      <c r="G64" s="31"/>
      <c r="H64" s="40"/>
      <c r="I64" s="37"/>
      <c r="J64" s="44"/>
      <c r="K64" s="34"/>
      <c r="L64" s="422"/>
      <c r="M64" s="422"/>
      <c r="N64" s="422"/>
      <c r="O64" s="423"/>
      <c r="P64" s="362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63">
        <f t="shared" si="13"/>
        <v>0</v>
      </c>
      <c r="Z64" s="424"/>
      <c r="AA64" s="422"/>
      <c r="AB64" s="423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>
      <c r="A65" s="430"/>
      <c r="B65" s="51"/>
      <c r="C65" s="29"/>
      <c r="D65" s="48"/>
      <c r="E65" s="32"/>
      <c r="F65" s="30"/>
      <c r="G65" s="31"/>
      <c r="H65" s="40"/>
      <c r="I65" s="37"/>
      <c r="J65" s="44"/>
      <c r="K65" s="34"/>
      <c r="L65" s="422"/>
      <c r="M65" s="422"/>
      <c r="N65" s="422"/>
      <c r="O65" s="423"/>
      <c r="P65" s="362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63">
        <f t="shared" si="13"/>
        <v>0</v>
      </c>
      <c r="Z65" s="424"/>
      <c r="AA65" s="422"/>
      <c r="AB65" s="423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>
      <c r="A66" s="430"/>
      <c r="B66" s="51"/>
      <c r="C66" s="29"/>
      <c r="D66" s="48"/>
      <c r="E66" s="32"/>
      <c r="F66" s="30"/>
      <c r="G66" s="31"/>
      <c r="H66" s="40"/>
      <c r="I66" s="37"/>
      <c r="J66" s="44"/>
      <c r="K66" s="34"/>
      <c r="L66" s="422"/>
      <c r="M66" s="422"/>
      <c r="N66" s="422"/>
      <c r="O66" s="423"/>
      <c r="P66" s="362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39"/>
      <c r="V66" s="39"/>
      <c r="W66" s="39"/>
      <c r="X66" s="39"/>
      <c r="Y66" s="363">
        <f t="shared" si="13"/>
        <v>0</v>
      </c>
      <c r="Z66" s="424"/>
      <c r="AA66" s="422"/>
      <c r="AB66" s="423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>
      <c r="A67" s="430"/>
      <c r="B67" s="51"/>
      <c r="C67" s="29"/>
      <c r="D67" s="48"/>
      <c r="E67" s="32"/>
      <c r="F67" s="30"/>
      <c r="G67" s="31"/>
      <c r="H67" s="40"/>
      <c r="I67" s="37"/>
      <c r="J67" s="44"/>
      <c r="K67" s="34"/>
      <c r="L67" s="422"/>
      <c r="M67" s="422"/>
      <c r="N67" s="422"/>
      <c r="O67" s="423"/>
      <c r="P67" s="362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8"/>
      <c r="V67" s="38"/>
      <c r="W67" s="38"/>
      <c r="X67" s="38"/>
      <c r="Y67" s="363">
        <f t="shared" si="13"/>
        <v>0</v>
      </c>
      <c r="Z67" s="424"/>
      <c r="AA67" s="422"/>
      <c r="AB67" s="423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customHeight="1" thickBot="1">
      <c r="A68" s="430"/>
      <c r="B68" s="383"/>
      <c r="C68" s="32"/>
      <c r="D68" s="399"/>
      <c r="E68" s="29"/>
      <c r="F68" s="30"/>
      <c r="G68" s="31"/>
      <c r="H68" s="382"/>
      <c r="I68" s="38"/>
      <c r="J68" s="44"/>
      <c r="K68" s="34"/>
      <c r="L68" s="422"/>
      <c r="M68" s="422"/>
      <c r="N68" s="422"/>
      <c r="O68" s="423"/>
      <c r="P68" s="362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78"/>
      <c r="S68" s="379">
        <f t="shared" si="1"/>
        <v>0</v>
      </c>
      <c r="T68" s="380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81">
        <f t="shared" si="13"/>
        <v>0</v>
      </c>
      <c r="Z68" s="424"/>
      <c r="AA68" s="422"/>
      <c r="AB68" s="423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45" customHeight="1">
      <c r="A69" s="430"/>
      <c r="B69" s="51"/>
      <c r="C69" s="29"/>
      <c r="D69" s="29"/>
      <c r="E69" s="397"/>
      <c r="F69" s="30"/>
      <c r="G69" s="31"/>
      <c r="H69" s="375"/>
      <c r="I69" s="37"/>
      <c r="J69" s="376"/>
      <c r="K69" s="377"/>
      <c r="L69" s="420"/>
      <c r="M69" s="420"/>
      <c r="N69" s="420"/>
      <c r="O69" s="421"/>
      <c r="P69" s="373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4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3">
        <f>SUM(U69:X69)</f>
        <v>0</v>
      </c>
      <c r="Z69" s="434"/>
      <c r="AA69" s="420"/>
      <c r="AB69" s="421"/>
      <c r="AC69" s="57">
        <f>IF(B69="",0,IF(E69="",0,IF(SUMIF(B69:B88,B69,I69:I88)=0,0,IF(E69="Obligatoire",AD69/I69,IF(F69="",AD69/SUMIF(B69:B88,B69,I69:I88),AD69/(SUMIF(B69:B88,B69,I69:I88)/F69))))))</f>
        <v>0</v>
      </c>
      <c r="AD69" s="58">
        <f>H69*I69</f>
        <v>0</v>
      </c>
    </row>
    <row r="70" spans="1:30">
      <c r="A70" s="430"/>
      <c r="B70" s="51"/>
      <c r="C70" s="29"/>
      <c r="D70" s="48"/>
      <c r="E70" s="32"/>
      <c r="F70" s="30"/>
      <c r="G70" s="31"/>
      <c r="H70" s="40"/>
      <c r="I70" s="37"/>
      <c r="J70" s="44"/>
      <c r="K70" s="34"/>
      <c r="L70" s="422"/>
      <c r="M70" s="422"/>
      <c r="N70" s="422"/>
      <c r="O70" s="423"/>
      <c r="P70" s="362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3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63">
        <f t="shared" ref="Y70:Y88" si="17">SUM(U70:X70)</f>
        <v>0</v>
      </c>
      <c r="Z70" s="424"/>
      <c r="AA70" s="422"/>
      <c r="AB70" s="423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>
      <c r="A71" s="430"/>
      <c r="B71" s="51"/>
      <c r="C71" s="29"/>
      <c r="D71" s="48"/>
      <c r="E71" s="32"/>
      <c r="F71" s="30"/>
      <c r="G71" s="31"/>
      <c r="H71" s="40"/>
      <c r="I71" s="37"/>
      <c r="J71" s="44"/>
      <c r="K71" s="34"/>
      <c r="L71" s="422"/>
      <c r="M71" s="422"/>
      <c r="N71" s="422"/>
      <c r="O71" s="423"/>
      <c r="P71" s="362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3">
        <f t="shared" si="17"/>
        <v>0</v>
      </c>
      <c r="Z71" s="424"/>
      <c r="AA71" s="422"/>
      <c r="AB71" s="423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>
      <c r="A72" s="430"/>
      <c r="B72" s="51"/>
      <c r="C72" s="29"/>
      <c r="D72" s="401"/>
      <c r="E72" s="400"/>
      <c r="F72" s="30"/>
      <c r="G72" s="31"/>
      <c r="H72" s="40"/>
      <c r="I72" s="37"/>
      <c r="J72" s="44"/>
      <c r="K72" s="34"/>
      <c r="L72" s="422"/>
      <c r="M72" s="422"/>
      <c r="N72" s="422"/>
      <c r="O72" s="423"/>
      <c r="P72" s="362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3">
        <f t="shared" si="17"/>
        <v>0</v>
      </c>
      <c r="Z72" s="424"/>
      <c r="AA72" s="422"/>
      <c r="AB72" s="423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>
      <c r="A73" s="430"/>
      <c r="B73" s="51"/>
      <c r="C73" s="29"/>
      <c r="D73" s="401"/>
      <c r="E73" s="48"/>
      <c r="F73" s="30"/>
      <c r="G73" s="31"/>
      <c r="H73" s="40"/>
      <c r="I73" s="37"/>
      <c r="J73" s="44"/>
      <c r="K73" s="34"/>
      <c r="L73" s="422"/>
      <c r="M73" s="422"/>
      <c r="N73" s="422"/>
      <c r="O73" s="423"/>
      <c r="P73" s="362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3">
        <f t="shared" si="17"/>
        <v>0</v>
      </c>
      <c r="Z73" s="424"/>
      <c r="AA73" s="422"/>
      <c r="AB73" s="423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>
      <c r="A74" s="430"/>
      <c r="B74" s="51"/>
      <c r="C74" s="29"/>
      <c r="D74" s="401"/>
      <c r="E74" s="48"/>
      <c r="F74" s="30"/>
      <c r="G74" s="31"/>
      <c r="H74" s="40"/>
      <c r="I74" s="37"/>
      <c r="J74" s="44"/>
      <c r="K74" s="34"/>
      <c r="L74" s="422"/>
      <c r="M74" s="422"/>
      <c r="N74" s="422"/>
      <c r="O74" s="423"/>
      <c r="P74" s="362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3">
        <f t="shared" si="17"/>
        <v>0</v>
      </c>
      <c r="Z74" s="424"/>
      <c r="AA74" s="422"/>
      <c r="AB74" s="423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>
      <c r="A75" s="430"/>
      <c r="B75" s="51"/>
      <c r="C75" s="29"/>
      <c r="D75" s="401"/>
      <c r="E75" s="48"/>
      <c r="F75" s="30"/>
      <c r="G75" s="31"/>
      <c r="H75" s="40"/>
      <c r="I75" s="37"/>
      <c r="J75" s="44"/>
      <c r="K75" s="34"/>
      <c r="L75" s="422"/>
      <c r="M75" s="422"/>
      <c r="N75" s="422"/>
      <c r="O75" s="423"/>
      <c r="P75" s="362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63">
        <f t="shared" si="17"/>
        <v>0</v>
      </c>
      <c r="Z75" s="424"/>
      <c r="AA75" s="422"/>
      <c r="AB75" s="423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>
      <c r="A76" s="430"/>
      <c r="B76" s="51"/>
      <c r="C76" s="29"/>
      <c r="D76" s="401"/>
      <c r="E76" s="48"/>
      <c r="F76" s="30"/>
      <c r="G76" s="31"/>
      <c r="H76" s="40"/>
      <c r="I76" s="37"/>
      <c r="J76" s="44"/>
      <c r="K76" s="34"/>
      <c r="L76" s="422"/>
      <c r="M76" s="422"/>
      <c r="N76" s="422"/>
      <c r="O76" s="423"/>
      <c r="P76" s="362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3">
        <f t="shared" si="17"/>
        <v>0</v>
      </c>
      <c r="Z76" s="424"/>
      <c r="AA76" s="422"/>
      <c r="AB76" s="423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>
      <c r="A77" s="430"/>
      <c r="B77" s="51"/>
      <c r="C77" s="29"/>
      <c r="D77" s="401"/>
      <c r="E77" s="48"/>
      <c r="F77" s="30"/>
      <c r="G77" s="31"/>
      <c r="H77" s="40"/>
      <c r="I77" s="37"/>
      <c r="J77" s="44"/>
      <c r="K77" s="34"/>
      <c r="L77" s="422"/>
      <c r="M77" s="422"/>
      <c r="N77" s="422"/>
      <c r="O77" s="423"/>
      <c r="P77" s="362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3">
        <f t="shared" si="17"/>
        <v>0</v>
      </c>
      <c r="Z77" s="424"/>
      <c r="AA77" s="422"/>
      <c r="AB77" s="423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>
      <c r="A78" s="430"/>
      <c r="B78" s="51"/>
      <c r="C78" s="29"/>
      <c r="D78" s="401"/>
      <c r="E78" s="48"/>
      <c r="F78" s="30"/>
      <c r="G78" s="31"/>
      <c r="H78" s="40"/>
      <c r="I78" s="37"/>
      <c r="J78" s="44"/>
      <c r="K78" s="34"/>
      <c r="L78" s="422"/>
      <c r="M78" s="422"/>
      <c r="N78" s="422"/>
      <c r="O78" s="423"/>
      <c r="P78" s="362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3">
        <f t="shared" si="17"/>
        <v>0</v>
      </c>
      <c r="Z78" s="424"/>
      <c r="AA78" s="422"/>
      <c r="AB78" s="423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>
      <c r="A79" s="430"/>
      <c r="B79" s="51"/>
      <c r="C79" s="29"/>
      <c r="D79" s="401"/>
      <c r="E79" s="48"/>
      <c r="F79" s="30"/>
      <c r="G79" s="31"/>
      <c r="H79" s="40"/>
      <c r="I79" s="37"/>
      <c r="J79" s="44"/>
      <c r="K79" s="34"/>
      <c r="L79" s="422"/>
      <c r="M79" s="422"/>
      <c r="N79" s="422"/>
      <c r="O79" s="423"/>
      <c r="P79" s="362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3">
        <f t="shared" si="17"/>
        <v>0</v>
      </c>
      <c r="Z79" s="424"/>
      <c r="AA79" s="422"/>
      <c r="AB79" s="423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>
      <c r="A80" s="430"/>
      <c r="B80" s="51"/>
      <c r="C80" s="29"/>
      <c r="D80" s="401"/>
      <c r="E80" s="48"/>
      <c r="F80" s="30"/>
      <c r="G80" s="31"/>
      <c r="H80" s="40"/>
      <c r="I80" s="37"/>
      <c r="J80" s="44"/>
      <c r="K80" s="34"/>
      <c r="L80" s="422"/>
      <c r="M80" s="422"/>
      <c r="N80" s="422"/>
      <c r="O80" s="423"/>
      <c r="P80" s="362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3">
        <f t="shared" si="17"/>
        <v>0</v>
      </c>
      <c r="Z80" s="424"/>
      <c r="AA80" s="422"/>
      <c r="AB80" s="423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>
      <c r="A81" s="430"/>
      <c r="B81" s="51"/>
      <c r="C81" s="29"/>
      <c r="D81" s="401"/>
      <c r="E81" s="48"/>
      <c r="F81" s="30"/>
      <c r="G81" s="31"/>
      <c r="H81" s="40"/>
      <c r="I81" s="37"/>
      <c r="J81" s="44"/>
      <c r="K81" s="34"/>
      <c r="L81" s="422"/>
      <c r="M81" s="422"/>
      <c r="N81" s="422"/>
      <c r="O81" s="423"/>
      <c r="P81" s="362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3">
        <f t="shared" si="17"/>
        <v>0</v>
      </c>
      <c r="Z81" s="424"/>
      <c r="AA81" s="422"/>
      <c r="AB81" s="423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>
      <c r="A82" s="430"/>
      <c r="B82" s="51"/>
      <c r="C82" s="29"/>
      <c r="D82" s="401"/>
      <c r="E82" s="48"/>
      <c r="F82" s="30"/>
      <c r="G82" s="31"/>
      <c r="H82" s="40"/>
      <c r="I82" s="37"/>
      <c r="J82" s="44"/>
      <c r="K82" s="34"/>
      <c r="L82" s="422"/>
      <c r="M82" s="422"/>
      <c r="N82" s="422"/>
      <c r="O82" s="423"/>
      <c r="P82" s="362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3">
        <f t="shared" si="17"/>
        <v>0</v>
      </c>
      <c r="Z82" s="424"/>
      <c r="AA82" s="422"/>
      <c r="AB82" s="423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>
      <c r="A83" s="430"/>
      <c r="B83" s="51"/>
      <c r="C83" s="29"/>
      <c r="D83" s="401"/>
      <c r="E83" s="48"/>
      <c r="F83" s="30"/>
      <c r="G83" s="31"/>
      <c r="H83" s="40"/>
      <c r="I83" s="37"/>
      <c r="J83" s="44"/>
      <c r="K83" s="34"/>
      <c r="L83" s="422"/>
      <c r="M83" s="422"/>
      <c r="N83" s="422"/>
      <c r="O83" s="423"/>
      <c r="P83" s="362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3">
        <f t="shared" si="17"/>
        <v>0</v>
      </c>
      <c r="Z83" s="424"/>
      <c r="AA83" s="422"/>
      <c r="AB83" s="423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>
      <c r="A84" s="430"/>
      <c r="B84" s="51"/>
      <c r="C84" s="29"/>
      <c r="D84" s="401"/>
      <c r="E84" s="48"/>
      <c r="F84" s="30"/>
      <c r="G84" s="31"/>
      <c r="H84" s="40"/>
      <c r="I84" s="37"/>
      <c r="J84" s="44"/>
      <c r="K84" s="34"/>
      <c r="L84" s="422"/>
      <c r="M84" s="422"/>
      <c r="N84" s="422"/>
      <c r="O84" s="423"/>
      <c r="P84" s="362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3">
        <f t="shared" si="17"/>
        <v>0</v>
      </c>
      <c r="Z84" s="424"/>
      <c r="AA84" s="422"/>
      <c r="AB84" s="423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>
      <c r="A85" s="430"/>
      <c r="B85" s="51"/>
      <c r="C85" s="29"/>
      <c r="D85" s="401"/>
      <c r="E85" s="48"/>
      <c r="F85" s="30"/>
      <c r="G85" s="31"/>
      <c r="H85" s="40"/>
      <c r="I85" s="37"/>
      <c r="J85" s="44"/>
      <c r="K85" s="34"/>
      <c r="L85" s="422"/>
      <c r="M85" s="422"/>
      <c r="N85" s="422"/>
      <c r="O85" s="423"/>
      <c r="P85" s="362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3">
        <f t="shared" si="17"/>
        <v>0</v>
      </c>
      <c r="Z85" s="424"/>
      <c r="AA85" s="422"/>
      <c r="AB85" s="423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>
      <c r="A86" s="430"/>
      <c r="B86" s="51"/>
      <c r="C86" s="29"/>
      <c r="D86" s="401"/>
      <c r="E86" s="48"/>
      <c r="F86" s="30"/>
      <c r="G86" s="31"/>
      <c r="H86" s="40"/>
      <c r="I86" s="37"/>
      <c r="J86" s="44"/>
      <c r="K86" s="34"/>
      <c r="L86" s="422"/>
      <c r="M86" s="422"/>
      <c r="N86" s="422"/>
      <c r="O86" s="423"/>
      <c r="P86" s="362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3">
        <f t="shared" si="17"/>
        <v>0</v>
      </c>
      <c r="Z86" s="424"/>
      <c r="AA86" s="422"/>
      <c r="AB86" s="423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>
      <c r="A87" s="430"/>
      <c r="B87" s="51"/>
      <c r="C87" s="29"/>
      <c r="D87" s="401"/>
      <c r="E87" s="48"/>
      <c r="F87" s="30"/>
      <c r="G87" s="31"/>
      <c r="H87" s="40"/>
      <c r="I87" s="37"/>
      <c r="J87" s="44"/>
      <c r="K87" s="34"/>
      <c r="L87" s="422"/>
      <c r="M87" s="422"/>
      <c r="N87" s="422"/>
      <c r="O87" s="423"/>
      <c r="P87" s="362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3">
        <f t="shared" si="17"/>
        <v>0</v>
      </c>
      <c r="Z87" s="424"/>
      <c r="AA87" s="422"/>
      <c r="AB87" s="423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>
      <c r="A88" s="430"/>
      <c r="B88" s="51"/>
      <c r="C88" s="29"/>
      <c r="D88" s="401"/>
      <c r="E88" s="48"/>
      <c r="F88" s="30"/>
      <c r="G88" s="31"/>
      <c r="H88" s="40"/>
      <c r="I88" s="37"/>
      <c r="J88" s="44"/>
      <c r="K88" s="34"/>
      <c r="L88" s="422"/>
      <c r="M88" s="422"/>
      <c r="N88" s="422"/>
      <c r="O88" s="423"/>
      <c r="P88" s="362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3">
        <f t="shared" si="17"/>
        <v>0</v>
      </c>
      <c r="Z88" s="424"/>
      <c r="AA88" s="422"/>
      <c r="AB88" s="423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5" thickBot="1">
      <c r="A89" s="431"/>
      <c r="B89" s="53"/>
      <c r="C89" s="19"/>
      <c r="D89" s="63"/>
      <c r="E89" s="19"/>
      <c r="F89" s="20"/>
      <c r="G89" s="18"/>
      <c r="H89" s="46">
        <f>AC89</f>
        <v>0</v>
      </c>
      <c r="I89" s="41"/>
      <c r="J89" s="45"/>
      <c r="K89" s="50"/>
      <c r="L89" s="59"/>
      <c r="M89" s="59"/>
      <c r="N89" s="59"/>
      <c r="O89" s="60"/>
      <c r="P89" s="385"/>
      <c r="Q89" s="386">
        <f>SUM(Q49:Q88)</f>
        <v>0</v>
      </c>
      <c r="R89" s="358">
        <f>SUM(R49:R88)</f>
        <v>0</v>
      </c>
      <c r="S89" s="387">
        <f>SUM(S49:S88)</f>
        <v>0</v>
      </c>
      <c r="T89" s="64">
        <f>SUM(T49:T88)</f>
        <v>0</v>
      </c>
      <c r="U89" s="387">
        <f t="shared" ref="U89" si="21">SUM(U49:U88)</f>
        <v>0</v>
      </c>
      <c r="V89" s="387">
        <f t="shared" ref="V89" si="22">SUM(V49:V88)</f>
        <v>0</v>
      </c>
      <c r="W89" s="387">
        <f t="shared" ref="W89" si="23">SUM(W49:W88)</f>
        <v>0</v>
      </c>
      <c r="X89" s="387">
        <f t="shared" ref="X89" si="24">SUM(X49:X88)</f>
        <v>0</v>
      </c>
      <c r="Y89" s="387">
        <f t="shared" ref="Y89" si="25">SUM(Y49:Y88)</f>
        <v>0</v>
      </c>
      <c r="Z89" s="367"/>
      <c r="AA89" s="61"/>
      <c r="AB89" s="368"/>
      <c r="AC89" s="62">
        <f>SUM(AC49:AC88)</f>
        <v>0</v>
      </c>
      <c r="AD89" s="26">
        <f>SUM(AD49:AD88)</f>
        <v>0</v>
      </c>
    </row>
    <row r="90" spans="1:30" ht="16.5" thickBot="1">
      <c r="A90" s="403"/>
      <c r="B90" s="21"/>
      <c r="C90" s="21"/>
      <c r="D90" s="21"/>
      <c r="E90" s="21"/>
      <c r="F90" s="21"/>
      <c r="G90" s="22"/>
      <c r="H90" s="47">
        <f>ROUND(H48+H89,1)</f>
        <v>852</v>
      </c>
      <c r="I90" s="23"/>
      <c r="J90" s="24"/>
      <c r="K90" s="23"/>
      <c r="L90" s="23"/>
      <c r="M90" s="23"/>
      <c r="N90" s="23"/>
      <c r="O90" s="35"/>
      <c r="P90" s="43"/>
      <c r="Q90" s="65">
        <f>Q48+Q89</f>
        <v>241</v>
      </c>
      <c r="R90" s="65">
        <f t="shared" ref="R90:T90" si="26">R48+R89</f>
        <v>120</v>
      </c>
      <c r="S90" s="65">
        <f t="shared" si="26"/>
        <v>361</v>
      </c>
      <c r="T90" s="65">
        <f t="shared" si="26"/>
        <v>421.5</v>
      </c>
    </row>
    <row r="91" spans="1:30" ht="18" customHeight="1">
      <c r="M91" s="25"/>
    </row>
  </sheetData>
  <sheetProtection algorithmName="SHA-512" hashValue="SzQ3dIhV6D/Q/dmGh6L3YM6zMkKcAnM6mEwPkOJRo32+RGrxAY7y7d97YFKz5uvL4Kla8r9sTPQlEYHfs907xA==" saltValue="fEOCpDu4b6S+JJwpsmKyFg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87" priority="403">
      <formula>$G8=#REF!</formula>
    </cfRule>
    <cfRule type="expression" dxfId="86" priority="404">
      <formula>$G8=#REF!</formula>
    </cfRule>
    <cfRule type="expression" dxfId="85" priority="405">
      <formula>$G8=#REF!</formula>
    </cfRule>
    <cfRule type="expression" dxfId="84" priority="406">
      <formula>$G8=#REF!</formula>
    </cfRule>
  </conditionalFormatting>
  <conditionalFormatting sqref="Z9:Z11">
    <cfRule type="expression" dxfId="83" priority="369">
      <formula>$G9=#REF!</formula>
    </cfRule>
    <cfRule type="expression" dxfId="82" priority="370">
      <formula>$G9=#REF!</formula>
    </cfRule>
    <cfRule type="expression" dxfId="81" priority="371">
      <formula>$G9=#REF!</formula>
    </cfRule>
    <cfRule type="expression" dxfId="80" priority="372">
      <formula>$G9=#REF!</formula>
    </cfRule>
  </conditionalFormatting>
  <conditionalFormatting sqref="Z28:Z29">
    <cfRule type="expression" dxfId="79" priority="355">
      <formula>$G28=#REF!</formula>
    </cfRule>
    <cfRule type="expression" dxfId="78" priority="356">
      <formula>$G28=#REF!</formula>
    </cfRule>
    <cfRule type="expression" dxfId="77" priority="357">
      <formula>$G28=#REF!</formula>
    </cfRule>
    <cfRule type="expression" dxfId="76" priority="358">
      <formula>$G28=#REF!</formula>
    </cfRule>
  </conditionalFormatting>
  <conditionalFormatting sqref="Z49:Z68">
    <cfRule type="expression" dxfId="75" priority="341">
      <formula>$G49=#REF!</formula>
    </cfRule>
    <cfRule type="expression" dxfId="74" priority="342">
      <formula>$G49=#REF!</formula>
    </cfRule>
    <cfRule type="expression" dxfId="73" priority="343">
      <formula>$G49=#REF!</formula>
    </cfRule>
    <cfRule type="expression" dxfId="72" priority="344">
      <formula>$G49=#REF!</formula>
    </cfRule>
  </conditionalFormatting>
  <conditionalFormatting sqref="Z69:Z71">
    <cfRule type="expression" dxfId="71" priority="327">
      <formula>$G69=#REF!</formula>
    </cfRule>
    <cfRule type="expression" dxfId="70" priority="328">
      <formula>$G69=#REF!</formula>
    </cfRule>
    <cfRule type="expression" dxfId="69" priority="329">
      <formula>$G69=#REF!</formula>
    </cfRule>
    <cfRule type="expression" dxfId="68" priority="330">
      <formula>$G69=#REF!</formula>
    </cfRule>
  </conditionalFormatting>
  <conditionalFormatting sqref="K90">
    <cfRule type="cellIs" dxfId="67" priority="122" operator="equal">
      <formula>"Mut+ext"</formula>
    </cfRule>
  </conditionalFormatting>
  <conditionalFormatting sqref="K48 K89">
    <cfRule type="cellIs" dxfId="66" priority="137" operator="equal">
      <formula>"Mut+ext"</formula>
    </cfRule>
  </conditionalFormatting>
  <conditionalFormatting sqref="K8">
    <cfRule type="cellIs" dxfId="65" priority="134" operator="equal">
      <formula>"Mut+ext"</formula>
    </cfRule>
  </conditionalFormatting>
  <conditionalFormatting sqref="K40:K47">
    <cfRule type="cellIs" dxfId="64" priority="132" operator="equal">
      <formula>"Mut+ext"</formula>
    </cfRule>
  </conditionalFormatting>
  <conditionalFormatting sqref="K49:K68">
    <cfRule type="cellIs" dxfId="63" priority="130" operator="equal">
      <formula>"Mut+ext"</formula>
    </cfRule>
  </conditionalFormatting>
  <conditionalFormatting sqref="K69:K71 K85:K88">
    <cfRule type="cellIs" dxfId="62" priority="128" operator="equal">
      <formula>"Mut+ext"</formula>
    </cfRule>
  </conditionalFormatting>
  <conditionalFormatting sqref="Z12:Z24">
    <cfRule type="expression" dxfId="61" priority="89">
      <formula>$G12=#REF!</formula>
    </cfRule>
    <cfRule type="expression" dxfId="60" priority="90">
      <formula>$G12=#REF!</formula>
    </cfRule>
    <cfRule type="expression" dxfId="59" priority="91">
      <formula>$G12=#REF!</formula>
    </cfRule>
    <cfRule type="expression" dxfId="58" priority="92">
      <formula>$G12=#REF!</formula>
    </cfRule>
  </conditionalFormatting>
  <conditionalFormatting sqref="Z30">
    <cfRule type="expression" dxfId="57" priority="85">
      <formula>$G30=#REF!</formula>
    </cfRule>
    <cfRule type="expression" dxfId="56" priority="86">
      <formula>$G30=#REF!</formula>
    </cfRule>
    <cfRule type="expression" dxfId="55" priority="87">
      <formula>$G30=#REF!</formula>
    </cfRule>
    <cfRule type="expression" dxfId="54" priority="88">
      <formula>$G30=#REF!</formula>
    </cfRule>
  </conditionalFormatting>
  <conditionalFormatting sqref="Z31:Z32">
    <cfRule type="expression" dxfId="53" priority="77">
      <formula>$G31=#REF!</formula>
    </cfRule>
    <cfRule type="expression" dxfId="52" priority="78">
      <formula>$G31=#REF!</formula>
    </cfRule>
    <cfRule type="expression" dxfId="51" priority="79">
      <formula>$G31=#REF!</formula>
    </cfRule>
    <cfRule type="expression" dxfId="50" priority="80">
      <formula>$G31=#REF!</formula>
    </cfRule>
  </conditionalFormatting>
  <conditionalFormatting sqref="Z33:Z34">
    <cfRule type="expression" dxfId="49" priority="73">
      <formula>$G33=#REF!</formula>
    </cfRule>
    <cfRule type="expression" dxfId="48" priority="74">
      <formula>$G33=#REF!</formula>
    </cfRule>
    <cfRule type="expression" dxfId="47" priority="75">
      <formula>$G33=#REF!</formula>
    </cfRule>
    <cfRule type="expression" dxfId="46" priority="76">
      <formula>$G33=#REF!</formula>
    </cfRule>
  </conditionalFormatting>
  <conditionalFormatting sqref="Z72:Z84">
    <cfRule type="expression" dxfId="45" priority="69">
      <formula>$G72=#REF!</formula>
    </cfRule>
    <cfRule type="expression" dxfId="44" priority="70">
      <formula>$G72=#REF!</formula>
    </cfRule>
    <cfRule type="expression" dxfId="43" priority="71">
      <formula>$G72=#REF!</formula>
    </cfRule>
    <cfRule type="expression" dxfId="42" priority="72">
      <formula>$G72=#REF!</formula>
    </cfRule>
  </conditionalFormatting>
  <conditionalFormatting sqref="K72:K84">
    <cfRule type="cellIs" dxfId="41" priority="67" operator="equal">
      <formula>"Mut+ext"</formula>
    </cfRule>
  </conditionalFormatting>
  <conditionalFormatting sqref="Y28:Y47">
    <cfRule type="cellIs" dxfId="40" priority="55" operator="notEqual">
      <formula>S28</formula>
    </cfRule>
  </conditionalFormatting>
  <conditionalFormatting sqref="Y49:Y68">
    <cfRule type="cellIs" dxfId="39" priority="53" operator="notEqual">
      <formula>S49</formula>
    </cfRule>
  </conditionalFormatting>
  <conditionalFormatting sqref="Y69:Y88">
    <cfRule type="cellIs" dxfId="38" priority="51" operator="notEqual">
      <formula>S69</formula>
    </cfRule>
  </conditionalFormatting>
  <conditionalFormatting sqref="Y8:Y27">
    <cfRule type="cellIs" dxfId="37" priority="45" operator="notEqual">
      <formula>S8</formula>
    </cfRule>
  </conditionalFormatting>
  <conditionalFormatting sqref="F8:F9">
    <cfRule type="expression" dxfId="36" priority="42">
      <formula>E8="obligatoire"</formula>
    </cfRule>
  </conditionalFormatting>
  <conditionalFormatting sqref="F40:F47">
    <cfRule type="expression" dxfId="35" priority="41">
      <formula>E40="obligatoire"</formula>
    </cfRule>
  </conditionalFormatting>
  <conditionalFormatting sqref="F61:F68">
    <cfRule type="expression" dxfId="34" priority="40">
      <formula>E61="obligatoire"</formula>
    </cfRule>
  </conditionalFormatting>
  <conditionalFormatting sqref="F69:F88">
    <cfRule type="expression" dxfId="33" priority="39">
      <formula>E69="obligatoire"</formula>
    </cfRule>
  </conditionalFormatting>
  <conditionalFormatting sqref="F52:F59">
    <cfRule type="expression" dxfId="32" priority="34">
      <formula>E52="obligatoire"</formula>
    </cfRule>
  </conditionalFormatting>
  <conditionalFormatting sqref="F49:F54">
    <cfRule type="expression" dxfId="31" priority="33">
      <formula>E49="obligatoire"</formula>
    </cfRule>
  </conditionalFormatting>
  <conditionalFormatting sqref="F57">
    <cfRule type="expression" dxfId="30" priority="29">
      <formula>E57="obligatoire"</formula>
    </cfRule>
  </conditionalFormatting>
  <conditionalFormatting sqref="F57">
    <cfRule type="expression" dxfId="29" priority="28">
      <formula>E57="obligatoire"</formula>
    </cfRule>
  </conditionalFormatting>
  <conditionalFormatting sqref="F60">
    <cfRule type="expression" dxfId="28" priority="27">
      <formula>E60="obligatoire"</formula>
    </cfRule>
  </conditionalFormatting>
  <conditionalFormatting sqref="F59">
    <cfRule type="expression" dxfId="27" priority="23">
      <formula>E59="obligatoire"</formula>
    </cfRule>
  </conditionalFormatting>
  <conditionalFormatting sqref="K12">
    <cfRule type="cellIs" dxfId="26" priority="22" operator="equal">
      <formula>"Mut+ext"</formula>
    </cfRule>
  </conditionalFormatting>
  <conditionalFormatting sqref="F10:F36">
    <cfRule type="expression" dxfId="25" priority="19">
      <formula>E10="obligatoire"</formula>
    </cfRule>
  </conditionalFormatting>
  <conditionalFormatting sqref="F37">
    <cfRule type="expression" dxfId="24" priority="16">
      <formula>E37="obligatoire"</formula>
    </cfRule>
  </conditionalFormatting>
  <conditionalFormatting sqref="F38:F39">
    <cfRule type="expression" dxfId="23" priority="15">
      <formula>E38="obligatoire"</formula>
    </cfRule>
  </conditionalFormatting>
  <conditionalFormatting sqref="K17:K18">
    <cfRule type="cellIs" dxfId="22" priority="14" operator="equal">
      <formula>"Mut+ext"</formula>
    </cfRule>
  </conditionalFormatting>
  <conditionalFormatting sqref="K21">
    <cfRule type="cellIs" dxfId="21" priority="13" operator="equal">
      <formula>"Mut+ext"</formula>
    </cfRule>
  </conditionalFormatting>
  <conditionalFormatting sqref="K23">
    <cfRule type="cellIs" dxfId="20" priority="12" operator="equal">
      <formula>"Mut+ext"</formula>
    </cfRule>
  </conditionalFormatting>
  <conditionalFormatting sqref="K25:K26">
    <cfRule type="cellIs" dxfId="19" priority="11" operator="equal">
      <formula>"Mut+ext"</formula>
    </cfRule>
  </conditionalFormatting>
  <conditionalFormatting sqref="K33">
    <cfRule type="cellIs" dxfId="18" priority="10" operator="equal">
      <formula>"Mut+ext"</formula>
    </cfRule>
  </conditionalFormatting>
  <conditionalFormatting sqref="K35">
    <cfRule type="cellIs" dxfId="17" priority="9" operator="equal">
      <formula>"Mut+ext"</formula>
    </cfRule>
  </conditionalFormatting>
  <conditionalFormatting sqref="K9:K11">
    <cfRule type="cellIs" dxfId="16" priority="8" operator="equal">
      <formula>"Mut+ext"</formula>
    </cfRule>
  </conditionalFormatting>
  <conditionalFormatting sqref="K13:K16">
    <cfRule type="cellIs" dxfId="15" priority="7" operator="equal">
      <formula>"Mut+ext"</formula>
    </cfRule>
  </conditionalFormatting>
  <conditionalFormatting sqref="K19:K20">
    <cfRule type="cellIs" dxfId="14" priority="6" operator="equal">
      <formula>"Mut+ext"</formula>
    </cfRule>
  </conditionalFormatting>
  <conditionalFormatting sqref="K22">
    <cfRule type="cellIs" dxfId="13" priority="5" operator="equal">
      <formula>"Mut+ext"</formula>
    </cfRule>
  </conditionalFormatting>
  <conditionalFormatting sqref="K24">
    <cfRule type="cellIs" dxfId="12" priority="4" operator="equal">
      <formula>"Mut+ext"</formula>
    </cfRule>
  </conditionalFormatting>
  <conditionalFormatting sqref="K27:K32">
    <cfRule type="cellIs" dxfId="11" priority="3" operator="equal">
      <formula>"Mut+ext"</formula>
    </cfRule>
  </conditionalFormatting>
  <conditionalFormatting sqref="K34">
    <cfRule type="cellIs" dxfId="10" priority="2" operator="equal">
      <formula>"Mut+ext"</formula>
    </cfRule>
  </conditionalFormatting>
  <conditionalFormatting sqref="K36:K39">
    <cfRule type="cellIs" dxfId="9" priority="1" operator="equal">
      <formula>"Mut+ext"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0866141732283472" right="0.70866141732283472" top="0.74803149606299213" bottom="0.74803149606299213" header="0.31496062992125984" footer="0.31496062992125984"/>
  <pageSetup paperSize="8" scale="5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Paramétrage!D$6:D$27</xm:f>
          </x14:formula1>
          <xm:sqref>G49:G88</xm:sqref>
        </x14:dataValidation>
        <x14:dataValidation type="list" allowBlank="1" showInputMessage="1" showErrorMessage="1" xr:uid="{00000000-0002-0000-0000-000006000000}">
          <x14:formula1>
            <xm:f>Paramétrage!$D$6:$D$27</xm:f>
          </x14:formula1>
          <xm:sqref>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"/>
  <sheetViews>
    <sheetView tabSelected="1" zoomScale="85" zoomScaleNormal="85" workbookViewId="0">
      <pane ySplit="11" topLeftCell="A12" activePane="bottomLeft" state="frozen"/>
      <selection pane="bottomLeft" activeCell="H5" sqref="H5:K5"/>
    </sheetView>
  </sheetViews>
  <sheetFormatPr defaultColWidth="11.5703125" defaultRowHeight="12.75"/>
  <cols>
    <col min="1" max="1" width="3.140625" style="67" customWidth="1"/>
    <col min="2" max="2" width="12.7109375" style="67" customWidth="1"/>
    <col min="3" max="3" width="24" style="67" customWidth="1"/>
    <col min="4" max="6" width="11.5703125" style="67"/>
    <col min="7" max="7" width="11.42578125" style="67" customWidth="1"/>
    <col min="8" max="11" width="11.5703125" style="67"/>
    <col min="12" max="12" width="22.28515625" style="67" customWidth="1"/>
    <col min="13" max="13" width="11.5703125" style="67" customWidth="1"/>
    <col min="14" max="14" width="24.28515625" style="67" customWidth="1"/>
    <col min="15" max="15" width="9.85546875" style="67" customWidth="1"/>
    <col min="16" max="17" width="6.7109375" style="67" customWidth="1"/>
    <col min="18" max="16384" width="11.5703125" style="67"/>
  </cols>
  <sheetData>
    <row r="1" spans="1:17" ht="7.15" customHeight="1" thickBot="1">
      <c r="H1" s="68"/>
      <c r="I1" s="69"/>
      <c r="J1" s="70"/>
      <c r="K1" s="68"/>
      <c r="L1" s="68"/>
    </row>
    <row r="2" spans="1:17" ht="28.15" customHeight="1" thickBot="1">
      <c r="A2" s="71"/>
      <c r="B2" s="491" t="s">
        <v>102</v>
      </c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82"/>
    </row>
    <row r="3" spans="1:17" ht="12.6" customHeight="1">
      <c r="F3" s="68"/>
      <c r="G3" s="68"/>
      <c r="H3" s="68"/>
      <c r="I3" s="68"/>
      <c r="J3" s="70"/>
      <c r="K3" s="68"/>
      <c r="L3" s="68"/>
    </row>
    <row r="4" spans="1:17" ht="22.15" customHeight="1">
      <c r="C4" s="72" t="s">
        <v>103</v>
      </c>
      <c r="D4" s="488" t="s">
        <v>104</v>
      </c>
      <c r="E4" s="490"/>
      <c r="G4" s="72" t="s">
        <v>105</v>
      </c>
      <c r="H4" s="488" t="s">
        <v>106</v>
      </c>
      <c r="I4" s="489"/>
      <c r="J4" s="489"/>
      <c r="K4" s="490"/>
    </row>
    <row r="5" spans="1:17" ht="22.15" customHeight="1">
      <c r="C5" s="73" t="s">
        <v>107</v>
      </c>
      <c r="D5" s="493">
        <v>31493</v>
      </c>
      <c r="E5" s="490"/>
      <c r="G5" s="72" t="s">
        <v>108</v>
      </c>
      <c r="H5" s="494" t="s">
        <v>109</v>
      </c>
      <c r="I5" s="489"/>
      <c r="J5" s="489"/>
      <c r="K5" s="490"/>
    </row>
    <row r="6" spans="1:17" ht="22.15" customHeight="1">
      <c r="C6" s="475" t="s">
        <v>110</v>
      </c>
      <c r="D6" s="476"/>
      <c r="E6" s="74">
        <v>15</v>
      </c>
      <c r="G6" s="72" t="s">
        <v>111</v>
      </c>
      <c r="H6" s="488" t="s">
        <v>112</v>
      </c>
      <c r="I6" s="489"/>
      <c r="J6" s="489"/>
      <c r="K6" s="490"/>
      <c r="N6" s="75" t="s">
        <v>113</v>
      </c>
    </row>
    <row r="7" spans="1:17" ht="22.15" customHeight="1">
      <c r="C7" s="475" t="s">
        <v>114</v>
      </c>
      <c r="D7" s="476"/>
      <c r="E7" s="74">
        <f>F28</f>
        <v>15</v>
      </c>
      <c r="G7" s="76" t="s">
        <v>115</v>
      </c>
      <c r="J7" s="77">
        <v>2021</v>
      </c>
      <c r="K7" s="77">
        <v>2022</v>
      </c>
    </row>
    <row r="8" spans="1:17" ht="18" customHeight="1">
      <c r="E8" s="78"/>
      <c r="G8" s="79"/>
    </row>
    <row r="9" spans="1:17" ht="25.9" customHeight="1">
      <c r="B9" s="477" t="s">
        <v>116</v>
      </c>
      <c r="C9" s="477"/>
      <c r="D9" s="477"/>
      <c r="E9" s="80">
        <f>'Budget détaillé'!J75</f>
        <v>0</v>
      </c>
      <c r="F9" s="478" t="s">
        <v>117</v>
      </c>
      <c r="G9" s="478"/>
      <c r="H9" s="81"/>
      <c r="I9" s="82" t="s">
        <v>118</v>
      </c>
      <c r="J9" s="80">
        <f>'Recettes et simulat'!J28+'Recettes et simulat'!F39-'Budget détaillé'!K62</f>
        <v>7095</v>
      </c>
    </row>
    <row r="10" spans="1:17" ht="22.15" customHeight="1">
      <c r="B10" s="477" t="s">
        <v>119</v>
      </c>
      <c r="C10" s="477"/>
      <c r="D10" s="477"/>
      <c r="E10" s="80">
        <f>E9+J9</f>
        <v>7095</v>
      </c>
      <c r="F10" s="478"/>
      <c r="G10" s="478"/>
      <c r="H10" s="479" t="s">
        <v>120</v>
      </c>
      <c r="I10" s="480"/>
      <c r="J10" s="80">
        <f>'Budget détaillé'!K63</f>
        <v>7127</v>
      </c>
    </row>
    <row r="11" spans="1:17" ht="16.899999999999999" customHeight="1" thickBot="1"/>
    <row r="12" spans="1:17" ht="18.600000000000001" customHeight="1" thickBot="1">
      <c r="B12" s="472" t="s">
        <v>121</v>
      </c>
      <c r="C12" s="473"/>
      <c r="D12" s="473"/>
      <c r="E12" s="473"/>
      <c r="F12" s="473"/>
      <c r="G12" s="473"/>
      <c r="H12" s="473"/>
      <c r="I12" s="473"/>
      <c r="J12" s="473"/>
      <c r="K12" s="473"/>
      <c r="L12" s="473"/>
      <c r="M12" s="474"/>
    </row>
    <row r="13" spans="1:17" ht="13.5" thickBot="1"/>
    <row r="14" spans="1:17" ht="39" thickBot="1">
      <c r="B14" s="83" t="s">
        <v>122</v>
      </c>
      <c r="C14" s="84" t="s">
        <v>123</v>
      </c>
      <c r="D14" s="84" t="s">
        <v>13</v>
      </c>
      <c r="E14" s="84" t="s">
        <v>124</v>
      </c>
      <c r="F14" s="84" t="s">
        <v>125</v>
      </c>
      <c r="G14" s="84" t="s">
        <v>0</v>
      </c>
      <c r="H14" s="85" t="s">
        <v>126</v>
      </c>
      <c r="I14" s="84" t="s">
        <v>127</v>
      </c>
      <c r="J14" s="84" t="s">
        <v>128</v>
      </c>
      <c r="K14" s="84" t="s">
        <v>129</v>
      </c>
      <c r="L14" s="481" t="s">
        <v>130</v>
      </c>
      <c r="M14" s="482"/>
      <c r="O14" s="86" t="s">
        <v>131</v>
      </c>
      <c r="P14" s="86">
        <v>250</v>
      </c>
      <c r="Q14" s="86">
        <v>400</v>
      </c>
    </row>
    <row r="15" spans="1:17" ht="20.45" customHeight="1">
      <c r="B15" s="483" t="s">
        <v>132</v>
      </c>
      <c r="C15" s="484"/>
      <c r="D15" s="484"/>
      <c r="E15" s="484"/>
      <c r="F15" s="484"/>
      <c r="G15" s="484"/>
      <c r="H15" s="484"/>
      <c r="I15" s="484"/>
      <c r="J15" s="484"/>
      <c r="K15" s="484"/>
      <c r="L15" s="484"/>
      <c r="M15" s="485"/>
      <c r="O15" s="86" t="s">
        <v>133</v>
      </c>
      <c r="P15" s="86">
        <v>400</v>
      </c>
      <c r="Q15" s="86"/>
    </row>
    <row r="16" spans="1:17" ht="16.899999999999999" customHeight="1" thickBot="1">
      <c r="B16" s="486" t="s">
        <v>134</v>
      </c>
      <c r="C16" s="487"/>
      <c r="D16" s="87"/>
      <c r="E16" s="88"/>
      <c r="F16" s="89">
        <f>E6-E7</f>
        <v>0</v>
      </c>
      <c r="G16" s="90">
        <f>E16*F16</f>
        <v>0</v>
      </c>
      <c r="H16" s="91"/>
      <c r="I16" s="92"/>
      <c r="J16" s="92"/>
      <c r="K16" s="93"/>
      <c r="L16" s="92"/>
      <c r="M16" s="94"/>
    </row>
    <row r="17" spans="2:13" ht="21" customHeight="1">
      <c r="B17" s="483" t="s">
        <v>135</v>
      </c>
      <c r="C17" s="484"/>
      <c r="D17" s="484"/>
      <c r="E17" s="484"/>
      <c r="F17" s="484"/>
      <c r="G17" s="484"/>
      <c r="H17" s="484"/>
      <c r="I17" s="484"/>
      <c r="J17" s="484"/>
      <c r="K17" s="484"/>
      <c r="L17" s="484"/>
      <c r="M17" s="485"/>
    </row>
    <row r="18" spans="2:13">
      <c r="B18" s="95" t="s">
        <v>136</v>
      </c>
      <c r="C18" s="96" t="s">
        <v>133</v>
      </c>
      <c r="D18" s="74">
        <v>410</v>
      </c>
      <c r="E18" s="88">
        <v>8000</v>
      </c>
      <c r="F18" s="74">
        <v>15</v>
      </c>
      <c r="G18" s="90">
        <f>E18*F18</f>
        <v>120000</v>
      </c>
      <c r="H18" s="90">
        <f t="shared" ref="H18:H27" si="0">IF(D18=0,0,E18/D18)</f>
        <v>19.512195121951219</v>
      </c>
      <c r="I18" s="97">
        <v>0.05</v>
      </c>
      <c r="J18" s="90">
        <f>G18*(1-I18)</f>
        <v>114000</v>
      </c>
      <c r="K18" s="90">
        <f t="shared" ref="K18:K27" si="1">IF((D18*F18)=0,0,J18/(D18*F18))</f>
        <v>18.536585365853657</v>
      </c>
      <c r="L18" s="466"/>
      <c r="M18" s="467"/>
    </row>
    <row r="19" spans="2:13">
      <c r="B19" s="95" t="s">
        <v>137</v>
      </c>
      <c r="C19" s="96"/>
      <c r="D19" s="74"/>
      <c r="E19" s="88"/>
      <c r="F19" s="74"/>
      <c r="G19" s="90">
        <f t="shared" ref="G19:G27" si="2">E19*F19</f>
        <v>0</v>
      </c>
      <c r="H19" s="90">
        <f t="shared" si="0"/>
        <v>0</v>
      </c>
      <c r="I19" s="97"/>
      <c r="J19" s="90">
        <f t="shared" ref="J19:J27" si="3">G19*(1-I19)</f>
        <v>0</v>
      </c>
      <c r="K19" s="90">
        <f t="shared" si="1"/>
        <v>0</v>
      </c>
      <c r="L19" s="466"/>
      <c r="M19" s="467"/>
    </row>
    <row r="20" spans="2:13">
      <c r="B20" s="95" t="s">
        <v>138</v>
      </c>
      <c r="C20" s="96"/>
      <c r="D20" s="74"/>
      <c r="E20" s="88"/>
      <c r="F20" s="74"/>
      <c r="G20" s="90">
        <f t="shared" si="2"/>
        <v>0</v>
      </c>
      <c r="H20" s="90">
        <f t="shared" si="0"/>
        <v>0</v>
      </c>
      <c r="I20" s="97"/>
      <c r="J20" s="90">
        <f t="shared" si="3"/>
        <v>0</v>
      </c>
      <c r="K20" s="90">
        <f t="shared" si="1"/>
        <v>0</v>
      </c>
      <c r="L20" s="466"/>
      <c r="M20" s="467"/>
    </row>
    <row r="21" spans="2:13">
      <c r="B21" s="95" t="s">
        <v>139</v>
      </c>
      <c r="C21" s="96"/>
      <c r="D21" s="74"/>
      <c r="E21" s="88"/>
      <c r="F21" s="74"/>
      <c r="G21" s="90">
        <f t="shared" si="2"/>
        <v>0</v>
      </c>
      <c r="H21" s="90">
        <f t="shared" si="0"/>
        <v>0</v>
      </c>
      <c r="I21" s="97"/>
      <c r="J21" s="90">
        <f t="shared" si="3"/>
        <v>0</v>
      </c>
      <c r="K21" s="90">
        <f t="shared" si="1"/>
        <v>0</v>
      </c>
      <c r="L21" s="466"/>
      <c r="M21" s="467"/>
    </row>
    <row r="22" spans="2:13">
      <c r="B22" s="95" t="s">
        <v>140</v>
      </c>
      <c r="C22" s="96"/>
      <c r="D22" s="74"/>
      <c r="E22" s="88"/>
      <c r="F22" s="74"/>
      <c r="G22" s="90">
        <f t="shared" si="2"/>
        <v>0</v>
      </c>
      <c r="H22" s="90">
        <f t="shared" si="0"/>
        <v>0</v>
      </c>
      <c r="I22" s="97"/>
      <c r="J22" s="90">
        <f t="shared" si="3"/>
        <v>0</v>
      </c>
      <c r="K22" s="90">
        <f t="shared" si="1"/>
        <v>0</v>
      </c>
      <c r="L22" s="466"/>
      <c r="M22" s="467"/>
    </row>
    <row r="23" spans="2:13">
      <c r="B23" s="95" t="s">
        <v>141</v>
      </c>
      <c r="C23" s="96"/>
      <c r="D23" s="74"/>
      <c r="E23" s="88"/>
      <c r="F23" s="74"/>
      <c r="G23" s="90">
        <f t="shared" si="2"/>
        <v>0</v>
      </c>
      <c r="H23" s="90">
        <f t="shared" si="0"/>
        <v>0</v>
      </c>
      <c r="I23" s="97"/>
      <c r="J23" s="90">
        <f t="shared" si="3"/>
        <v>0</v>
      </c>
      <c r="K23" s="90">
        <f t="shared" si="1"/>
        <v>0</v>
      </c>
      <c r="L23" s="466"/>
      <c r="M23" s="467"/>
    </row>
    <row r="24" spans="2:13">
      <c r="B24" s="95" t="s">
        <v>142</v>
      </c>
      <c r="C24" s="96"/>
      <c r="D24" s="74"/>
      <c r="E24" s="88"/>
      <c r="F24" s="74"/>
      <c r="G24" s="90">
        <f t="shared" si="2"/>
        <v>0</v>
      </c>
      <c r="H24" s="90">
        <f t="shared" si="0"/>
        <v>0</v>
      </c>
      <c r="I24" s="97"/>
      <c r="J24" s="90">
        <f t="shared" si="3"/>
        <v>0</v>
      </c>
      <c r="K24" s="90">
        <f t="shared" si="1"/>
        <v>0</v>
      </c>
      <c r="L24" s="466"/>
      <c r="M24" s="467"/>
    </row>
    <row r="25" spans="2:13">
      <c r="B25" s="95" t="s">
        <v>143</v>
      </c>
      <c r="C25" s="96"/>
      <c r="D25" s="74"/>
      <c r="E25" s="88"/>
      <c r="F25" s="74"/>
      <c r="G25" s="90">
        <f t="shared" si="2"/>
        <v>0</v>
      </c>
      <c r="H25" s="90">
        <f t="shared" si="0"/>
        <v>0</v>
      </c>
      <c r="I25" s="97"/>
      <c r="J25" s="90">
        <f t="shared" si="3"/>
        <v>0</v>
      </c>
      <c r="K25" s="90">
        <f t="shared" si="1"/>
        <v>0</v>
      </c>
      <c r="L25" s="466"/>
      <c r="M25" s="467"/>
    </row>
    <row r="26" spans="2:13">
      <c r="B26" s="95" t="s">
        <v>144</v>
      </c>
      <c r="C26" s="96"/>
      <c r="D26" s="74"/>
      <c r="E26" s="88"/>
      <c r="F26" s="74"/>
      <c r="G26" s="90">
        <f t="shared" si="2"/>
        <v>0</v>
      </c>
      <c r="H26" s="90">
        <f t="shared" si="0"/>
        <v>0</v>
      </c>
      <c r="I26" s="97"/>
      <c r="J26" s="90">
        <f t="shared" si="3"/>
        <v>0</v>
      </c>
      <c r="K26" s="90">
        <f t="shared" si="1"/>
        <v>0</v>
      </c>
      <c r="L26" s="466"/>
      <c r="M26" s="467"/>
    </row>
    <row r="27" spans="2:13">
      <c r="B27" s="98" t="s">
        <v>145</v>
      </c>
      <c r="C27" s="99"/>
      <c r="D27" s="74"/>
      <c r="E27" s="100"/>
      <c r="F27" s="74"/>
      <c r="G27" s="90">
        <f t="shared" si="2"/>
        <v>0</v>
      </c>
      <c r="H27" s="90">
        <f t="shared" si="0"/>
        <v>0</v>
      </c>
      <c r="I27" s="97"/>
      <c r="J27" s="90">
        <f t="shared" si="3"/>
        <v>0</v>
      </c>
      <c r="K27" s="90">
        <f t="shared" si="1"/>
        <v>0</v>
      </c>
      <c r="L27" s="466"/>
      <c r="M27" s="467"/>
    </row>
    <row r="28" spans="2:13" ht="13.5" thickBot="1">
      <c r="B28" s="468" t="s">
        <v>146</v>
      </c>
      <c r="C28" s="469"/>
      <c r="D28" s="101"/>
      <c r="E28" s="102"/>
      <c r="F28" s="101">
        <f>SUM(F18:F27)</f>
        <v>15</v>
      </c>
      <c r="G28" s="103">
        <f>SUM(G18:G27)</f>
        <v>120000</v>
      </c>
      <c r="H28" s="104">
        <f>IF(SUMPRODUCT(F18:F27,D18:D27)=0,0,G28/SUMPRODUCT(F18:F27,D18:D27))</f>
        <v>19.512195121951219</v>
      </c>
      <c r="I28" s="101"/>
      <c r="J28" s="103">
        <f>SUM(J18:J27)</f>
        <v>114000</v>
      </c>
      <c r="K28" s="103">
        <f>IF(D28=0,0,IF(SUMPRODUCT(F18:F27,D18:D27)=0,0,J28/SUMPRODUCT(F18:F27,D18:D27)))</f>
        <v>0</v>
      </c>
      <c r="L28" s="470"/>
      <c r="M28" s="471"/>
    </row>
    <row r="29" spans="2:13">
      <c r="B29" s="76"/>
      <c r="C29" s="76"/>
      <c r="D29" s="73"/>
      <c r="E29" s="79"/>
      <c r="F29" s="73"/>
      <c r="G29" s="105"/>
      <c r="H29" s="105"/>
      <c r="I29" s="79"/>
      <c r="J29" s="105"/>
      <c r="K29" s="105"/>
      <c r="L29" s="105"/>
      <c r="M29" s="79"/>
    </row>
    <row r="30" spans="2:13" ht="13.5" thickBot="1"/>
    <row r="31" spans="2:13" ht="18.600000000000001" customHeight="1" thickBot="1">
      <c r="B31" s="472" t="s">
        <v>147</v>
      </c>
      <c r="C31" s="473"/>
      <c r="D31" s="473"/>
      <c r="E31" s="473"/>
      <c r="F31" s="473"/>
      <c r="G31" s="473"/>
      <c r="H31" s="473"/>
      <c r="I31" s="473"/>
      <c r="J31" s="473"/>
      <c r="K31" s="473"/>
      <c r="L31" s="473"/>
      <c r="M31" s="474"/>
    </row>
    <row r="32" spans="2:13" ht="13.5" thickBot="1"/>
    <row r="33" spans="2:13" ht="21" customHeight="1">
      <c r="B33" s="461" t="s">
        <v>148</v>
      </c>
      <c r="C33" s="462"/>
      <c r="D33" s="463"/>
      <c r="E33" s="106" t="s">
        <v>149</v>
      </c>
      <c r="F33" s="106" t="s">
        <v>150</v>
      </c>
      <c r="G33" s="464" t="s">
        <v>151</v>
      </c>
      <c r="H33" s="462"/>
      <c r="I33" s="462"/>
      <c r="J33" s="462"/>
      <c r="K33" s="465"/>
    </row>
    <row r="34" spans="2:13">
      <c r="B34" s="459"/>
      <c r="C34" s="460"/>
      <c r="D34" s="460"/>
      <c r="E34" s="96"/>
      <c r="F34" s="88"/>
      <c r="G34" s="452"/>
      <c r="H34" s="452"/>
      <c r="I34" s="452"/>
      <c r="J34" s="452"/>
      <c r="K34" s="453"/>
    </row>
    <row r="35" spans="2:13">
      <c r="B35" s="459"/>
      <c r="C35" s="460"/>
      <c r="D35" s="460"/>
      <c r="E35" s="96"/>
      <c r="F35" s="88"/>
      <c r="G35" s="452"/>
      <c r="H35" s="452"/>
      <c r="I35" s="452"/>
      <c r="J35" s="452"/>
      <c r="K35" s="453"/>
    </row>
    <row r="36" spans="2:13">
      <c r="B36" s="459"/>
      <c r="C36" s="460"/>
      <c r="D36" s="460"/>
      <c r="E36" s="96"/>
      <c r="F36" s="88"/>
      <c r="G36" s="452"/>
      <c r="H36" s="452"/>
      <c r="I36" s="452"/>
      <c r="J36" s="452"/>
      <c r="K36" s="453"/>
    </row>
    <row r="37" spans="2:13">
      <c r="B37" s="450"/>
      <c r="C37" s="451"/>
      <c r="D37" s="451"/>
      <c r="E37" s="96"/>
      <c r="F37" s="88"/>
      <c r="G37" s="452"/>
      <c r="H37" s="452"/>
      <c r="I37" s="452"/>
      <c r="J37" s="452"/>
      <c r="K37" s="453"/>
    </row>
    <row r="38" spans="2:13">
      <c r="B38" s="450"/>
      <c r="C38" s="451"/>
      <c r="D38" s="451"/>
      <c r="E38" s="96"/>
      <c r="F38" s="88"/>
      <c r="G38" s="452"/>
      <c r="H38" s="452"/>
      <c r="I38" s="452"/>
      <c r="J38" s="452"/>
      <c r="K38" s="453"/>
    </row>
    <row r="39" spans="2:13" ht="13.5" thickBot="1">
      <c r="B39" s="454" t="s">
        <v>152</v>
      </c>
      <c r="C39" s="455"/>
      <c r="D39" s="455"/>
      <c r="E39" s="455"/>
      <c r="F39" s="107">
        <f>SUM(F34:F38)</f>
        <v>0</v>
      </c>
      <c r="G39" s="456"/>
      <c r="H39" s="457"/>
      <c r="I39" s="457"/>
      <c r="J39" s="457"/>
      <c r="K39" s="458"/>
      <c r="L39" s="79"/>
      <c r="M39" s="79"/>
    </row>
    <row r="40" spans="2:13">
      <c r="F40" s="68"/>
    </row>
    <row r="41" spans="2:13" ht="32.450000000000003" customHeight="1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5" zoomScaleNormal="85" zoomScaleSheetLayoutView="70" workbookViewId="0">
      <pane ySplit="9" topLeftCell="I43" activePane="bottomLeft" state="frozen"/>
      <selection pane="bottomLeft" activeCell="I43" sqref="I43"/>
    </sheetView>
  </sheetViews>
  <sheetFormatPr defaultColWidth="11.42578125" defaultRowHeight="12.7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491" t="s">
        <v>153</v>
      </c>
      <c r="C2" s="492"/>
      <c r="D2" s="492"/>
      <c r="E2" s="492"/>
      <c r="F2" s="492"/>
      <c r="G2" s="492"/>
      <c r="H2" s="492"/>
      <c r="I2" s="492"/>
      <c r="J2" s="492"/>
      <c r="K2" s="482"/>
      <c r="L2" s="491" t="s">
        <v>154</v>
      </c>
      <c r="M2" s="492"/>
      <c r="N2" s="492"/>
      <c r="O2" s="492"/>
      <c r="P2" s="482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103</v>
      </c>
      <c r="D5" s="501" t="str">
        <f>'Recettes et simulat'!D4</f>
        <v>Université Lumière Lyon 2</v>
      </c>
      <c r="E5" s="503"/>
      <c r="F5" s="71"/>
      <c r="G5" s="112" t="s">
        <v>105</v>
      </c>
      <c r="H5" s="501" t="str">
        <f>'Recettes et simulat'!H4</f>
        <v>Master</v>
      </c>
      <c r="I5" s="502"/>
      <c r="J5" s="502"/>
      <c r="K5" s="503"/>
      <c r="L5" s="108"/>
      <c r="M5" s="108"/>
      <c r="N5" s="108"/>
      <c r="O5" s="108"/>
      <c r="P5" s="108"/>
      <c r="Q5" s="67"/>
      <c r="R5" s="67"/>
      <c r="S5" s="71"/>
      <c r="T5" s="71"/>
      <c r="U5" s="75" t="s">
        <v>113</v>
      </c>
      <c r="V5" s="71"/>
    </row>
    <row r="6" spans="1:22" ht="22.15" customHeight="1">
      <c r="A6" s="71"/>
      <c r="B6" s="71"/>
      <c r="C6" s="111" t="s">
        <v>107</v>
      </c>
      <c r="D6" s="501">
        <f>'Recettes et simulat'!D5</f>
        <v>31493</v>
      </c>
      <c r="E6" s="503"/>
      <c r="F6" s="71"/>
      <c r="G6" s="112" t="s">
        <v>155</v>
      </c>
      <c r="H6" s="501" t="str">
        <f>'Recettes et simulat'!H5</f>
        <v>M2 Droit social
 INGENIERIE DE LA PROTECTION SOCIALE</v>
      </c>
      <c r="I6" s="502"/>
      <c r="J6" s="502"/>
      <c r="K6" s="503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110</v>
      </c>
      <c r="D7" s="114"/>
      <c r="E7" s="115">
        <f>'Recettes et simulat'!E6</f>
        <v>15</v>
      </c>
      <c r="F7" s="71"/>
      <c r="G7" s="112" t="s">
        <v>111</v>
      </c>
      <c r="H7" s="501" t="str">
        <f>'Recettes et simulat'!H6</f>
        <v>IETL - Institut d'Etudes du Travail de Lyon</v>
      </c>
      <c r="I7" s="502"/>
      <c r="J7" s="502"/>
      <c r="K7" s="503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114</v>
      </c>
      <c r="D8" s="114"/>
      <c r="E8" s="115">
        <f>'Recettes et simulat'!E7</f>
        <v>15</v>
      </c>
      <c r="F8" s="71"/>
      <c r="G8" s="76" t="s">
        <v>115</v>
      </c>
      <c r="H8" s="71"/>
      <c r="I8" s="71"/>
      <c r="J8" s="116">
        <f>'Recettes et simulat'!J7</f>
        <v>2021</v>
      </c>
      <c r="K8" s="116">
        <f>'Recettes et simulat'!K7</f>
        <v>2022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491" t="s">
        <v>156</v>
      </c>
      <c r="C11" s="492"/>
      <c r="D11" s="492"/>
      <c r="E11" s="492"/>
      <c r="F11" s="492"/>
      <c r="G11" s="492"/>
      <c r="H11" s="492"/>
      <c r="I11" s="492"/>
      <c r="J11" s="492"/>
      <c r="K11" s="482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>
      <c r="B13" s="130" t="s">
        <v>157</v>
      </c>
      <c r="C13" s="504" t="s">
        <v>158</v>
      </c>
      <c r="D13" s="505"/>
      <c r="E13" s="505"/>
      <c r="F13" s="506"/>
      <c r="G13" s="131" t="s">
        <v>159</v>
      </c>
      <c r="H13" s="132" t="s">
        <v>160</v>
      </c>
      <c r="I13" s="132" t="s">
        <v>161</v>
      </c>
      <c r="J13" s="133" t="s">
        <v>162</v>
      </c>
      <c r="K13" s="134" t="s">
        <v>163</v>
      </c>
      <c r="L13" s="135" t="s">
        <v>164</v>
      </c>
      <c r="M13" s="136" t="s">
        <v>165</v>
      </c>
      <c r="N13" s="136" t="s">
        <v>166</v>
      </c>
      <c r="O13" s="137" t="s">
        <v>167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168</v>
      </c>
      <c r="C14" s="142"/>
      <c r="D14" s="143"/>
      <c r="E14" s="143"/>
      <c r="F14" s="143"/>
      <c r="G14" s="144">
        <f>G20+G27+G32</f>
        <v>441.5</v>
      </c>
      <c r="H14" s="145">
        <f>IF(G20+G27+G32=0,0,(I20+I27+I32)/(G20+G27+G32))</f>
        <v>166.26274065685163</v>
      </c>
      <c r="I14" s="146">
        <f>I20+I32+I27</f>
        <v>73405</v>
      </c>
      <c r="J14" s="147">
        <f>J20+J32+J27</f>
        <v>0</v>
      </c>
      <c r="K14" s="148">
        <f>K20+K32+K27</f>
        <v>73405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0.64390350877192981</v>
      </c>
      <c r="R14" s="151" t="s">
        <v>169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170</v>
      </c>
      <c r="C15" s="153" t="s">
        <v>171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172</v>
      </c>
      <c r="C16" s="498" t="s">
        <v>23</v>
      </c>
      <c r="D16" s="499"/>
      <c r="E16" s="499"/>
      <c r="F16" s="500"/>
      <c r="G16" s="115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160.5</v>
      </c>
      <c r="H16" s="164">
        <v>218</v>
      </c>
      <c r="I16" s="165">
        <f>H16*G16</f>
        <v>34989</v>
      </c>
      <c r="J16" s="165">
        <f>I16-K16</f>
        <v>0</v>
      </c>
      <c r="K16" s="166">
        <f>IF($E$7=0,0,I16/$E$7*$E$8)</f>
        <v>34989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/>
      <c r="S16" s="169"/>
      <c r="T16" s="169"/>
      <c r="U16" s="169"/>
      <c r="V16" s="170"/>
    </row>
    <row r="17" spans="2:23" s="119" customFormat="1" ht="16.899999999999999" customHeight="1" outlineLevel="1">
      <c r="B17" s="162" t="s">
        <v>173</v>
      </c>
      <c r="C17" s="498" t="s">
        <v>24</v>
      </c>
      <c r="D17" s="499"/>
      <c r="E17" s="499"/>
      <c r="F17" s="500"/>
      <c r="G17" s="115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0</v>
      </c>
      <c r="H17" s="164">
        <v>110</v>
      </c>
      <c r="I17" s="171">
        <f>H17*G17</f>
        <v>0</v>
      </c>
      <c r="J17" s="165">
        <f t="shared" ref="J17:J19" si="1">I17-K17</f>
        <v>0</v>
      </c>
      <c r="K17" s="166">
        <f t="shared" ref="K17:K19" si="2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/>
      <c r="S17" s="169"/>
      <c r="T17" s="169"/>
      <c r="U17" s="169"/>
      <c r="V17" s="170"/>
    </row>
    <row r="18" spans="2:23" s="119" customFormat="1" ht="16.899999999999999" customHeight="1" outlineLevel="1">
      <c r="B18" s="162" t="s">
        <v>174</v>
      </c>
      <c r="C18" s="498" t="s">
        <v>175</v>
      </c>
      <c r="D18" s="499"/>
      <c r="E18" s="499"/>
      <c r="F18" s="500"/>
      <c r="G18" s="115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141</v>
      </c>
      <c r="H18" s="164">
        <v>56</v>
      </c>
      <c r="I18" s="171">
        <f>H18*G18</f>
        <v>7896</v>
      </c>
      <c r="J18" s="165">
        <f t="shared" si="1"/>
        <v>0</v>
      </c>
      <c r="K18" s="166">
        <f t="shared" si="2"/>
        <v>7896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/>
      <c r="S18" s="169"/>
      <c r="T18" s="169"/>
      <c r="U18" s="169"/>
      <c r="V18" s="170"/>
    </row>
    <row r="19" spans="2:23" s="119" customFormat="1" ht="18.600000000000001" customHeight="1" outlineLevel="1">
      <c r="B19" s="162" t="s">
        <v>176</v>
      </c>
      <c r="C19" s="498" t="s">
        <v>177</v>
      </c>
      <c r="D19" s="499"/>
      <c r="E19" s="499"/>
      <c r="F19" s="500"/>
      <c r="G19" s="115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0</v>
      </c>
      <c r="H19" s="173"/>
      <c r="I19" s="171">
        <f t="shared" ref="I19" si="3">H19*G19</f>
        <v>0</v>
      </c>
      <c r="J19" s="165">
        <f t="shared" si="1"/>
        <v>0</v>
      </c>
      <c r="K19" s="166">
        <f t="shared" si="2"/>
        <v>0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/>
      <c r="S19" s="169"/>
      <c r="T19" s="169"/>
      <c r="U19" s="169"/>
      <c r="V19" s="170"/>
    </row>
    <row r="20" spans="2:23" s="119" customFormat="1" ht="22.15" customHeight="1" outlineLevel="1" thickBot="1">
      <c r="B20" s="495" t="s">
        <v>178</v>
      </c>
      <c r="C20" s="496"/>
      <c r="D20" s="496"/>
      <c r="E20" s="496"/>
      <c r="F20" s="497"/>
      <c r="G20" s="175">
        <f>SUM(G16:G19)</f>
        <v>301.5</v>
      </c>
      <c r="H20" s="176">
        <f>IF(G20=0,0,I20/G20)</f>
        <v>142.23880597014926</v>
      </c>
      <c r="I20" s="177">
        <f>SUM(I16:I19)</f>
        <v>42885</v>
      </c>
      <c r="J20" s="178">
        <f>SUM(J16:J19)</f>
        <v>0</v>
      </c>
      <c r="K20" s="179">
        <f>SUM(K16:K19)</f>
        <v>42885</v>
      </c>
      <c r="L20" s="180">
        <f>SUM(L16:L19)</f>
        <v>0</v>
      </c>
      <c r="M20" s="177">
        <f>SUM(M16:M19)</f>
        <v>0</v>
      </c>
      <c r="N20" s="177">
        <f t="shared" ref="N20:P20" si="4">SUM(N16:N19)</f>
        <v>0</v>
      </c>
      <c r="O20" s="177">
        <f t="shared" si="4"/>
        <v>0</v>
      </c>
      <c r="P20" s="179">
        <f t="shared" si="4"/>
        <v>0</v>
      </c>
      <c r="Q20" s="150">
        <f>IF($K$72=0,0,K20/$K$72)</f>
        <v>0.37618421052631579</v>
      </c>
      <c r="R20" s="151" t="s">
        <v>169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179</v>
      </c>
      <c r="C21" s="153" t="s">
        <v>180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181</v>
      </c>
      <c r="C22" s="405" t="s">
        <v>182</v>
      </c>
      <c r="D22" s="407"/>
      <c r="E22" s="407"/>
      <c r="F22" s="408"/>
      <c r="G22" s="163">
        <f>SUMIF(Enseignements!$G$8:$G$89,Paramétrage!D15,Enseignements!Y$8:Y$89)</f>
        <v>0</v>
      </c>
      <c r="H22" s="164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5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/>
      <c r="S22" s="169"/>
      <c r="T22" s="169"/>
      <c r="U22" s="169"/>
      <c r="V22" s="169"/>
      <c r="W22" s="86"/>
    </row>
    <row r="23" spans="2:23" s="119" customFormat="1" ht="16.899999999999999" customHeight="1" outlineLevel="1">
      <c r="B23" s="162" t="s">
        <v>183</v>
      </c>
      <c r="C23" s="498" t="s">
        <v>184</v>
      </c>
      <c r="D23" s="499"/>
      <c r="E23" s="499"/>
      <c r="F23" s="500"/>
      <c r="G23" s="163">
        <f>SUMIF(Enseignements!$G$8:$G$89,Paramétrage!$D$18,Enseignements!Y$8:Y$89)</f>
        <v>0</v>
      </c>
      <c r="H23" s="164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/>
      <c r="S23" s="169"/>
      <c r="T23" s="169"/>
      <c r="U23" s="169"/>
      <c r="V23" s="169"/>
      <c r="W23" s="86"/>
    </row>
    <row r="24" spans="2:23" s="119" customFormat="1" ht="16.899999999999999" customHeight="1" outlineLevel="1">
      <c r="B24" s="162" t="s">
        <v>185</v>
      </c>
      <c r="C24" s="498" t="s">
        <v>186</v>
      </c>
      <c r="D24" s="499"/>
      <c r="E24" s="499"/>
      <c r="F24" s="500"/>
      <c r="G24" s="163">
        <f>SUMIF(Enseignements!$G$8:$G$89,Paramétrage!$D$9,Enseignements!Y$8:Y$89)</f>
        <v>0</v>
      </c>
      <c r="H24" s="164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/>
      <c r="S24" s="169"/>
      <c r="T24" s="169"/>
      <c r="U24" s="169"/>
      <c r="V24" s="169"/>
      <c r="W24" s="86"/>
    </row>
    <row r="25" spans="2:23" s="119" customFormat="1" ht="16.899999999999999" customHeight="1" outlineLevel="1">
      <c r="B25" s="162" t="s">
        <v>187</v>
      </c>
      <c r="C25" s="498" t="s">
        <v>188</v>
      </c>
      <c r="D25" s="499"/>
      <c r="E25" s="499"/>
      <c r="F25" s="500"/>
      <c r="G25" s="163">
        <f>SUMIF(Enseignements!$G$8:$G$89,Paramétrage!$D$12,Enseignements!Y$8:Y$89)</f>
        <v>120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5">
        <f>H25*G25</f>
        <v>26160</v>
      </c>
      <c r="J25" s="165">
        <f>I25-K25</f>
        <v>0</v>
      </c>
      <c r="K25" s="166">
        <f>I25</f>
        <v>26160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/>
      <c r="S25" s="169"/>
      <c r="T25" s="169"/>
      <c r="U25" s="169"/>
      <c r="V25" s="169"/>
      <c r="W25" s="86"/>
    </row>
    <row r="26" spans="2:23" s="119" customFormat="1" ht="16.899999999999999" customHeight="1" outlineLevel="1">
      <c r="B26" s="162" t="s">
        <v>189</v>
      </c>
      <c r="C26" s="498" t="s">
        <v>190</v>
      </c>
      <c r="D26" s="499"/>
      <c r="E26" s="499"/>
      <c r="F26" s="500"/>
      <c r="G26" s="163">
        <f>SUMIF(Enseignements!$G$8:$G$89,Paramétrage!$D$22,Enseignements!Y$8:Y$89)+SUMIF(Enseignements!$G$8:$G$89,Paramétrage!$D$25,Enseignements!Y$8:Y$89)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6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/>
      <c r="S26" s="169"/>
      <c r="T26" s="169"/>
      <c r="U26" s="169"/>
      <c r="V26" s="169"/>
      <c r="W26" s="86"/>
    </row>
    <row r="27" spans="2:23" s="119" customFormat="1" ht="21.6" customHeight="1" outlineLevel="1" thickBot="1">
      <c r="B27" s="495" t="s">
        <v>191</v>
      </c>
      <c r="C27" s="496"/>
      <c r="D27" s="496"/>
      <c r="E27" s="496"/>
      <c r="F27" s="497"/>
      <c r="G27" s="175">
        <f>SUM(G22:G26)</f>
        <v>120</v>
      </c>
      <c r="H27" s="176">
        <f>IF(G27=0,0,I27/G27)</f>
        <v>218</v>
      </c>
      <c r="I27" s="176">
        <f>SUM(I22:I26)</f>
        <v>26160</v>
      </c>
      <c r="J27" s="176">
        <f t="shared" ref="J27:K27" si="7">SUM(J22:J26)</f>
        <v>0</v>
      </c>
      <c r="K27" s="179">
        <f t="shared" si="7"/>
        <v>26160</v>
      </c>
      <c r="L27" s="182">
        <f>SUM(L22:L26)</f>
        <v>0</v>
      </c>
      <c r="M27" s="183">
        <f>SUM(M22:M26)</f>
        <v>0</v>
      </c>
      <c r="N27" s="184">
        <f t="shared" ref="N27:O27" si="8">SUM(N22:N26)</f>
        <v>0</v>
      </c>
      <c r="O27" s="177">
        <f t="shared" si="8"/>
        <v>0</v>
      </c>
      <c r="P27" s="179">
        <f t="shared" ref="P27" si="9">SUM(P22:P25)</f>
        <v>0</v>
      </c>
      <c r="Q27" s="150">
        <f>IF($K$72=0,0,K27/$K$72)</f>
        <v>0.2294736842105263</v>
      </c>
      <c r="R27" s="151" t="s">
        <v>169</v>
      </c>
      <c r="S27" s="71"/>
      <c r="T27" s="118"/>
    </row>
    <row r="28" spans="2:23" s="119" customFormat="1" ht="16.899999999999999" customHeight="1" outlineLevel="1">
      <c r="B28" s="152" t="s">
        <v>192</v>
      </c>
      <c r="C28" s="153" t="s">
        <v>193</v>
      </c>
      <c r="D28" s="154"/>
      <c r="E28" s="154"/>
      <c r="F28" s="155"/>
      <c r="G28" s="156"/>
      <c r="H28" s="157"/>
      <c r="I28" s="156"/>
      <c r="J28" s="156"/>
      <c r="K28" s="158"/>
      <c r="L28" s="191"/>
      <c r="M28" s="192"/>
      <c r="N28" s="192"/>
      <c r="O28" s="192"/>
      <c r="P28" s="193"/>
      <c r="Q28" s="160"/>
      <c r="R28" s="194">
        <f t="shared" ref="R28:U28" si="10">IF($I28=0,0,IF($P28=0,0,$G28*$J28/$I28*L28/$P28))</f>
        <v>0</v>
      </c>
      <c r="S28" s="194">
        <f t="shared" si="10"/>
        <v>0</v>
      </c>
      <c r="T28" s="194">
        <f t="shared" si="10"/>
        <v>0</v>
      </c>
      <c r="U28" s="195">
        <f t="shared" si="10"/>
        <v>0</v>
      </c>
      <c r="V28" s="196"/>
    </row>
    <row r="29" spans="2:23" s="119" customFormat="1" ht="16.899999999999999" customHeight="1" outlineLevel="1">
      <c r="B29" s="162" t="s">
        <v>194</v>
      </c>
      <c r="C29" s="498" t="s">
        <v>195</v>
      </c>
      <c r="D29" s="499"/>
      <c r="E29" s="499"/>
      <c r="F29" s="500"/>
      <c r="G29" s="77">
        <v>20</v>
      </c>
      <c r="H29" s="164">
        <f>+H16</f>
        <v>218</v>
      </c>
      <c r="I29" s="197">
        <f>H29*G29</f>
        <v>4360</v>
      </c>
      <c r="J29" s="165">
        <f t="shared" ref="J29:J31" si="11">I29-K29</f>
        <v>0</v>
      </c>
      <c r="K29" s="166">
        <f t="shared" ref="K29:K31" si="12">IF($E$7=0,0,I29/$E$7*$E$8)</f>
        <v>4360</v>
      </c>
      <c r="L29" s="198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/>
      <c r="S29" s="169"/>
      <c r="T29" s="169"/>
      <c r="U29" s="169"/>
      <c r="V29" s="170"/>
      <c r="W29" s="199"/>
    </row>
    <row r="30" spans="2:23" s="119" customFormat="1" ht="16.899999999999999" customHeight="1" outlineLevel="1">
      <c r="B30" s="162" t="s">
        <v>196</v>
      </c>
      <c r="C30" s="498" t="s">
        <v>197</v>
      </c>
      <c r="D30" s="499"/>
      <c r="E30" s="499"/>
      <c r="F30" s="500"/>
      <c r="G30" s="77"/>
      <c r="H30" s="164">
        <f>$H$20</f>
        <v>142.23880597014926</v>
      </c>
      <c r="I30" s="197">
        <f>H30*G30</f>
        <v>0</v>
      </c>
      <c r="J30" s="165">
        <f t="shared" si="11"/>
        <v>0</v>
      </c>
      <c r="K30" s="166">
        <f>I30</f>
        <v>0</v>
      </c>
      <c r="L30" s="198"/>
      <c r="M30" s="167"/>
      <c r="N30" s="77"/>
      <c r="O30" s="77"/>
      <c r="P30" s="172">
        <f>SUM(L30:O30)</f>
        <v>0</v>
      </c>
      <c r="Q30" s="169">
        <f t="shared" ref="Q30:Q31" si="13">IF($I30=0,0,$G30*$J30/$I30)</f>
        <v>0</v>
      </c>
      <c r="R30" s="169"/>
      <c r="S30" s="169"/>
      <c r="T30" s="169"/>
      <c r="U30" s="169"/>
      <c r="V30" s="170"/>
      <c r="W30" s="199"/>
    </row>
    <row r="31" spans="2:23" s="119" customFormat="1" ht="16.899999999999999" customHeight="1" outlineLevel="1">
      <c r="B31" s="162" t="s">
        <v>198</v>
      </c>
      <c r="C31" s="406" t="s">
        <v>26</v>
      </c>
      <c r="D31" s="407"/>
      <c r="E31" s="407"/>
      <c r="F31" s="408"/>
      <c r="G31" s="200"/>
      <c r="H31" s="164">
        <f>$H$20</f>
        <v>142.23880597014926</v>
      </c>
      <c r="I31" s="201">
        <f>H31*G31</f>
        <v>0</v>
      </c>
      <c r="J31" s="165">
        <f t="shared" si="11"/>
        <v>0</v>
      </c>
      <c r="K31" s="166">
        <f t="shared" si="12"/>
        <v>0</v>
      </c>
      <c r="L31" s="202"/>
      <c r="M31" s="77"/>
      <c r="N31" s="77"/>
      <c r="O31" s="77"/>
      <c r="P31" s="172">
        <f>SUM(L31:O31)</f>
        <v>0</v>
      </c>
      <c r="Q31" s="169">
        <f t="shared" si="13"/>
        <v>0</v>
      </c>
      <c r="R31" s="169"/>
      <c r="S31" s="169"/>
      <c r="T31" s="169"/>
      <c r="U31" s="169"/>
      <c r="V31" s="170"/>
      <c r="W31" s="199"/>
    </row>
    <row r="32" spans="2:23" s="119" customFormat="1" ht="21" customHeight="1" outlineLevel="1" thickBot="1">
      <c r="B32" s="495" t="s">
        <v>199</v>
      </c>
      <c r="C32" s="496"/>
      <c r="D32" s="496"/>
      <c r="E32" s="496"/>
      <c r="F32" s="497"/>
      <c r="G32" s="175">
        <f>SUM(G29:G31)</f>
        <v>20</v>
      </c>
      <c r="H32" s="176">
        <f>IF(G32=0,0,I32/G32)</f>
        <v>218</v>
      </c>
      <c r="I32" s="176">
        <f>SUM(I29:I31)</f>
        <v>4360</v>
      </c>
      <c r="J32" s="176">
        <f>SUM(J29:J31)</f>
        <v>0</v>
      </c>
      <c r="K32" s="384">
        <f>SUM(K29:K31)</f>
        <v>4360</v>
      </c>
      <c r="L32" s="180">
        <f t="shared" ref="L32:M32" si="14">SUM(L29:L31)</f>
        <v>0</v>
      </c>
      <c r="M32" s="177">
        <f t="shared" si="14"/>
        <v>0</v>
      </c>
      <c r="N32" s="177">
        <f>SUM(N29:N31)</f>
        <v>0</v>
      </c>
      <c r="O32" s="177">
        <f>SUM(O29:O31)</f>
        <v>0</v>
      </c>
      <c r="P32" s="179">
        <f t="shared" ref="P32" si="15">SUM(P28:P31)</f>
        <v>0</v>
      </c>
      <c r="Q32" s="150">
        <f>IF($K$72=0,0,K32/$K$72)</f>
        <v>3.8245614035087722E-2</v>
      </c>
      <c r="R32" s="151" t="s">
        <v>169</v>
      </c>
      <c r="S32" s="71"/>
      <c r="T32" s="118"/>
      <c r="U32" s="68"/>
    </row>
    <row r="33" spans="2:22" s="119" customFormat="1" ht="21" hidden="1" customHeight="1" outlineLevel="1">
      <c r="B33" s="206"/>
      <c r="C33" s="207"/>
      <c r="D33" s="208"/>
      <c r="E33" s="209"/>
      <c r="F33" s="209"/>
      <c r="G33" s="209"/>
      <c r="H33" s="210" t="s">
        <v>200</v>
      </c>
      <c r="I33" s="211">
        <f>+G20+G27+G32</f>
        <v>441.5</v>
      </c>
      <c r="J33" s="211">
        <f>SUM(Q16:Q19)+SUM(Q22:Q26)+SUM(Q29:Q31)</f>
        <v>0</v>
      </c>
      <c r="K33" s="212">
        <f>I33-J33</f>
        <v>441.5</v>
      </c>
      <c r="L33" s="213"/>
      <c r="M33" s="213"/>
      <c r="N33" s="213"/>
      <c r="O33" s="213"/>
      <c r="P33" s="213"/>
      <c r="Q33" s="214"/>
      <c r="R33" s="214"/>
      <c r="S33" s="215"/>
      <c r="T33" s="216"/>
      <c r="U33" s="118"/>
      <c r="V33" s="217"/>
    </row>
    <row r="34" spans="2:22" s="119" customFormat="1" ht="21" customHeight="1" outlineLevel="1" thickBot="1">
      <c r="B34" s="218"/>
      <c r="C34" s="219"/>
      <c r="D34" s="220"/>
      <c r="E34" s="221"/>
      <c r="F34" s="221"/>
      <c r="G34" s="221"/>
      <c r="H34" s="222" t="s">
        <v>201</v>
      </c>
      <c r="I34" s="223">
        <f>IF($E$7=0,0,(I32+I20+I27)/$E$7)</f>
        <v>4893.666666666667</v>
      </c>
      <c r="J34" s="224">
        <f>IF($E$7-$E$8=0,0,(J32+J20+J27)/($E$7-$E$8))</f>
        <v>0</v>
      </c>
      <c r="K34" s="225">
        <f>IF($E$8=0,0,(K32+K20+K27)/$E$8)</f>
        <v>4893.666666666667</v>
      </c>
      <c r="L34" s="213"/>
      <c r="M34" s="213"/>
      <c r="N34" s="213"/>
      <c r="O34" s="213"/>
      <c r="P34" s="213"/>
      <c r="Q34" s="214"/>
      <c r="R34" s="214"/>
      <c r="S34" s="215"/>
      <c r="T34" s="216"/>
      <c r="U34" s="118"/>
      <c r="V34" s="217"/>
    </row>
    <row r="35" spans="2:22" s="71" customFormat="1" ht="22.15" customHeight="1" thickBot="1">
      <c r="B35" s="226" t="s">
        <v>202</v>
      </c>
      <c r="C35" s="227"/>
      <c r="D35" s="228"/>
      <c r="E35" s="228"/>
      <c r="F35" s="228"/>
      <c r="G35" s="228"/>
      <c r="H35" s="229"/>
      <c r="I35" s="230">
        <f t="shared" ref="I35:P35" si="16">SUM(I36:I44)</f>
        <v>1100</v>
      </c>
      <c r="J35" s="231">
        <f t="shared" si="16"/>
        <v>0</v>
      </c>
      <c r="K35" s="232">
        <f t="shared" si="16"/>
        <v>1100</v>
      </c>
      <c r="L35" s="149">
        <f t="shared" si="16"/>
        <v>0</v>
      </c>
      <c r="M35" s="145">
        <f t="shared" si="16"/>
        <v>0</v>
      </c>
      <c r="N35" s="146">
        <f t="shared" si="16"/>
        <v>0</v>
      </c>
      <c r="O35" s="145">
        <f t="shared" si="16"/>
        <v>0</v>
      </c>
      <c r="P35" s="233">
        <f t="shared" si="16"/>
        <v>0</v>
      </c>
      <c r="Q35" s="150">
        <f>IF($K$72=0,0,K35/$K$72)</f>
        <v>9.6491228070175444E-3</v>
      </c>
      <c r="R35" s="151" t="s">
        <v>169</v>
      </c>
      <c r="U35" s="119"/>
      <c r="V35" s="119"/>
    </row>
    <row r="36" spans="2:22" s="119" customFormat="1" ht="16.899999999999999" customHeight="1" outlineLevel="1">
      <c r="B36" s="234" t="s">
        <v>203</v>
      </c>
      <c r="C36" s="235" t="s">
        <v>204</v>
      </c>
      <c r="D36" s="236"/>
      <c r="E36" s="236"/>
      <c r="F36" s="236"/>
      <c r="G36" s="236"/>
      <c r="H36" s="236"/>
      <c r="I36" s="237">
        <v>100</v>
      </c>
      <c r="J36" s="238">
        <f>I36-K36</f>
        <v>0</v>
      </c>
      <c r="K36" s="239">
        <f>IF($E$7=0,0,I36/$E$7*$E$8)</f>
        <v>100</v>
      </c>
      <c r="L36" s="240"/>
      <c r="M36" s="241"/>
      <c r="N36" s="242"/>
      <c r="O36" s="241"/>
      <c r="P36" s="243">
        <f>SUM(L36:O36)</f>
        <v>0</v>
      </c>
      <c r="Q36" s="244"/>
      <c r="R36" s="245"/>
      <c r="S36" s="71"/>
    </row>
    <row r="37" spans="2:22" s="119" customFormat="1" ht="16.899999999999999" customHeight="1" outlineLevel="1">
      <c r="B37" s="95" t="s">
        <v>205</v>
      </c>
      <c r="C37" s="246" t="s">
        <v>206</v>
      </c>
      <c r="D37" s="247"/>
      <c r="E37" s="247"/>
      <c r="F37" s="247"/>
      <c r="G37" s="247"/>
      <c r="H37" s="247"/>
      <c r="I37" s="248"/>
      <c r="J37" s="164">
        <f>I37-K37</f>
        <v>0</v>
      </c>
      <c r="K37" s="249">
        <f t="shared" ref="K37:K44" si="17">IF($E$7=0,0,I37/$E$7*$E$8)</f>
        <v>0</v>
      </c>
      <c r="L37" s="198"/>
      <c r="M37" s="167"/>
      <c r="N37" s="250"/>
      <c r="O37" s="167"/>
      <c r="P37" s="172">
        <f>SUM(L37:O37)</f>
        <v>0</v>
      </c>
      <c r="Q37" s="244"/>
      <c r="R37" s="245"/>
      <c r="S37" s="71"/>
    </row>
    <row r="38" spans="2:22" s="119" customFormat="1" ht="16.899999999999999" customHeight="1" outlineLevel="1">
      <c r="B38" s="95" t="s">
        <v>207</v>
      </c>
      <c r="C38" s="246" t="s">
        <v>208</v>
      </c>
      <c r="D38" s="247"/>
      <c r="E38" s="247"/>
      <c r="F38" s="247"/>
      <c r="G38" s="247"/>
      <c r="H38" s="247"/>
      <c r="I38" s="248">
        <v>500</v>
      </c>
      <c r="J38" s="164">
        <f>I38-K38</f>
        <v>0</v>
      </c>
      <c r="K38" s="249">
        <f t="shared" si="17"/>
        <v>500.00000000000006</v>
      </c>
      <c r="L38" s="198"/>
      <c r="M38" s="167"/>
      <c r="N38" s="250"/>
      <c r="O38" s="167"/>
      <c r="P38" s="172">
        <f t="shared" ref="P38:P44" si="18">SUM(L38:O38)</f>
        <v>0</v>
      </c>
      <c r="Q38" s="244"/>
      <c r="R38" s="245"/>
      <c r="S38" s="71"/>
    </row>
    <row r="39" spans="2:22" s="119" customFormat="1" ht="16.899999999999999" customHeight="1" outlineLevel="1">
      <c r="B39" s="95" t="s">
        <v>209</v>
      </c>
      <c r="C39" s="246" t="s">
        <v>210</v>
      </c>
      <c r="D39" s="247"/>
      <c r="E39" s="247"/>
      <c r="F39" s="247"/>
      <c r="G39" s="247"/>
      <c r="H39" s="247"/>
      <c r="I39" s="248"/>
      <c r="J39" s="164">
        <f>I39-K39</f>
        <v>0</v>
      </c>
      <c r="K39" s="249">
        <f t="shared" si="17"/>
        <v>0</v>
      </c>
      <c r="L39" s="198"/>
      <c r="M39" s="167"/>
      <c r="N39" s="250"/>
      <c r="O39" s="167"/>
      <c r="P39" s="172">
        <f t="shared" si="18"/>
        <v>0</v>
      </c>
      <c r="Q39" s="244"/>
      <c r="R39" s="245"/>
      <c r="S39" s="71"/>
    </row>
    <row r="40" spans="2:22" s="119" customFormat="1" ht="16.899999999999999" customHeight="1" outlineLevel="1">
      <c r="B40" s="95" t="s">
        <v>211</v>
      </c>
      <c r="C40" s="246" t="s">
        <v>212</v>
      </c>
      <c r="D40" s="247"/>
      <c r="E40" s="247"/>
      <c r="F40" s="247"/>
      <c r="G40" s="247"/>
      <c r="H40" s="247"/>
      <c r="I40" s="248"/>
      <c r="J40" s="164">
        <f>I40-K40</f>
        <v>0</v>
      </c>
      <c r="K40" s="249">
        <f t="shared" si="17"/>
        <v>0</v>
      </c>
      <c r="L40" s="198"/>
      <c r="M40" s="167"/>
      <c r="N40" s="250"/>
      <c r="O40" s="167"/>
      <c r="P40" s="172">
        <f>SUM(L40:O40)</f>
        <v>0</v>
      </c>
      <c r="Q40" s="244"/>
      <c r="R40" s="245"/>
      <c r="S40" s="71"/>
    </row>
    <row r="41" spans="2:22" s="119" customFormat="1" ht="16.899999999999999" customHeight="1" outlineLevel="1">
      <c r="B41" s="95" t="s">
        <v>213</v>
      </c>
      <c r="C41" s="246" t="s">
        <v>214</v>
      </c>
      <c r="D41" s="247"/>
      <c r="E41" s="247"/>
      <c r="F41" s="247"/>
      <c r="G41" s="247"/>
      <c r="H41" s="247"/>
      <c r="I41" s="248"/>
      <c r="J41" s="164">
        <f t="shared" ref="J41:J44" si="19">I41-K41</f>
        <v>0</v>
      </c>
      <c r="K41" s="249">
        <v>0</v>
      </c>
      <c r="L41" s="198"/>
      <c r="M41" s="167"/>
      <c r="N41" s="250"/>
      <c r="O41" s="167"/>
      <c r="P41" s="172">
        <f>SUM(L41:O41)</f>
        <v>0</v>
      </c>
      <c r="Q41" s="244"/>
      <c r="R41" s="245"/>
      <c r="S41" s="71"/>
    </row>
    <row r="42" spans="2:22" s="119" customFormat="1" ht="16.899999999999999" customHeight="1" outlineLevel="1">
      <c r="B42" s="95" t="s">
        <v>215</v>
      </c>
      <c r="C42" s="246" t="s">
        <v>216</v>
      </c>
      <c r="D42" s="247"/>
      <c r="E42" s="247"/>
      <c r="F42" s="247"/>
      <c r="G42" s="247"/>
      <c r="H42" s="247"/>
      <c r="I42" s="248">
        <v>500</v>
      </c>
      <c r="J42" s="164">
        <f t="shared" si="19"/>
        <v>0</v>
      </c>
      <c r="K42" s="249">
        <f>I42</f>
        <v>500</v>
      </c>
      <c r="L42" s="198"/>
      <c r="M42" s="167"/>
      <c r="N42" s="250"/>
      <c r="O42" s="167"/>
      <c r="P42" s="172">
        <f t="shared" si="18"/>
        <v>0</v>
      </c>
      <c r="Q42" s="244"/>
      <c r="R42" s="245"/>
      <c r="S42" s="71"/>
    </row>
    <row r="43" spans="2:22" s="119" customFormat="1" ht="16.899999999999999" customHeight="1" outlineLevel="1">
      <c r="B43" s="95" t="s">
        <v>217</v>
      </c>
      <c r="C43" s="246" t="s">
        <v>218</v>
      </c>
      <c r="D43" s="247"/>
      <c r="E43" s="247"/>
      <c r="F43" s="247"/>
      <c r="G43" s="247"/>
      <c r="H43" s="247"/>
      <c r="I43" s="248"/>
      <c r="J43" s="164">
        <f t="shared" si="19"/>
        <v>0</v>
      </c>
      <c r="K43" s="249">
        <f t="shared" si="17"/>
        <v>0</v>
      </c>
      <c r="L43" s="198"/>
      <c r="M43" s="167"/>
      <c r="N43" s="250"/>
      <c r="O43" s="167"/>
      <c r="P43" s="172">
        <f t="shared" si="18"/>
        <v>0</v>
      </c>
      <c r="Q43" s="244"/>
      <c r="R43" s="245"/>
      <c r="S43" s="71"/>
    </row>
    <row r="44" spans="2:22" s="119" customFormat="1" ht="16.899999999999999" customHeight="1" outlineLevel="1" thickBot="1">
      <c r="B44" s="251" t="s">
        <v>219</v>
      </c>
      <c r="C44" s="252" t="s">
        <v>220</v>
      </c>
      <c r="D44" s="253"/>
      <c r="E44" s="253"/>
      <c r="F44" s="253"/>
      <c r="G44" s="253"/>
      <c r="H44" s="254"/>
      <c r="I44" s="255"/>
      <c r="J44" s="256">
        <f t="shared" si="19"/>
        <v>0</v>
      </c>
      <c r="K44" s="257">
        <f t="shared" si="17"/>
        <v>0</v>
      </c>
      <c r="L44" s="258"/>
      <c r="M44" s="259"/>
      <c r="N44" s="260"/>
      <c r="O44" s="259"/>
      <c r="P44" s="261">
        <f t="shared" si="18"/>
        <v>0</v>
      </c>
      <c r="Q44" s="244"/>
      <c r="R44" s="245"/>
      <c r="S44" s="71"/>
    </row>
    <row r="45" spans="2:22" s="119" customFormat="1" ht="24.6" customHeight="1" outlineLevel="1" thickBot="1">
      <c r="B45" s="262"/>
      <c r="C45" s="263"/>
      <c r="E45" s="264"/>
      <c r="F45" s="264"/>
      <c r="G45" s="264"/>
      <c r="H45" s="72" t="s">
        <v>221</v>
      </c>
      <c r="I45" s="265">
        <f>IF(E7=0,0,I35/$E$7)</f>
        <v>73.333333333333329</v>
      </c>
      <c r="J45" s="265">
        <f>IF(E7-E8=0,0,J35/($E$7-$E$8))</f>
        <v>0</v>
      </c>
      <c r="K45" s="225">
        <f>IF($E$8=0,0,K35/$E$8)</f>
        <v>73.333333333333329</v>
      </c>
      <c r="L45" s="213"/>
      <c r="M45" s="213"/>
      <c r="N45" s="213"/>
      <c r="O45" s="213"/>
      <c r="P45" s="213"/>
      <c r="Q45" s="244"/>
      <c r="R45" s="245"/>
      <c r="S45" s="71"/>
      <c r="U45" s="71"/>
      <c r="V45" s="71"/>
    </row>
    <row r="46" spans="2:22" s="71" customFormat="1" ht="21.6" customHeight="1" thickBot="1">
      <c r="B46" s="141" t="s">
        <v>222</v>
      </c>
      <c r="C46" s="142"/>
      <c r="D46" s="143"/>
      <c r="E46" s="143"/>
      <c r="F46" s="143"/>
      <c r="G46" s="143"/>
      <c r="H46" s="266"/>
      <c r="I46" s="267">
        <f t="shared" ref="I46:P46" si="20">I35+I32+I20+I27</f>
        <v>74505</v>
      </c>
      <c r="J46" s="267">
        <f t="shared" si="20"/>
        <v>0</v>
      </c>
      <c r="K46" s="268">
        <f t="shared" si="20"/>
        <v>74505</v>
      </c>
      <c r="L46" s="267">
        <f t="shared" si="20"/>
        <v>0</v>
      </c>
      <c r="M46" s="267">
        <f t="shared" si="20"/>
        <v>0</v>
      </c>
      <c r="N46" s="267">
        <f t="shared" si="20"/>
        <v>0</v>
      </c>
      <c r="O46" s="267">
        <f t="shared" si="20"/>
        <v>0</v>
      </c>
      <c r="P46" s="269">
        <f t="shared" si="20"/>
        <v>0</v>
      </c>
      <c r="Q46" s="270">
        <f>IF($K$72=0,0,K46/$K$72)</f>
        <v>0.65355263157894739</v>
      </c>
      <c r="R46" s="151" t="s">
        <v>169</v>
      </c>
      <c r="S46" s="271"/>
      <c r="U46" s="68"/>
      <c r="V46" s="119"/>
    </row>
    <row r="47" spans="2:22" s="119" customFormat="1" ht="21" customHeight="1" thickBot="1">
      <c r="B47" s="272"/>
      <c r="C47" s="273"/>
      <c r="D47" s="273"/>
      <c r="E47" s="274"/>
      <c r="F47" s="274"/>
      <c r="G47" s="274"/>
      <c r="H47" s="275" t="s">
        <v>223</v>
      </c>
      <c r="I47" s="223">
        <f>IF(E7=0,0,I46/E7)</f>
        <v>4967</v>
      </c>
      <c r="J47" s="265">
        <f>IF((E7-E8)=0,0,J46/(E7-E8))</f>
        <v>0</v>
      </c>
      <c r="K47" s="276">
        <f>IF(E8=0,0,K46/E8)</f>
        <v>4967</v>
      </c>
      <c r="L47" s="213"/>
      <c r="M47" s="213"/>
      <c r="N47" s="213"/>
      <c r="O47" s="213"/>
      <c r="P47" s="213"/>
      <c r="Q47" s="277"/>
      <c r="R47" s="245"/>
      <c r="S47" s="71"/>
      <c r="T47" s="118"/>
      <c r="U47" s="68"/>
    </row>
    <row r="48" spans="2:22" s="119" customFormat="1" ht="12" customHeight="1" thickBot="1">
      <c r="B48" s="262"/>
      <c r="E48" s="264"/>
      <c r="F48" s="264"/>
      <c r="G48" s="264"/>
      <c r="H48" s="72"/>
      <c r="I48" s="223"/>
      <c r="J48" s="223"/>
      <c r="K48" s="278"/>
      <c r="L48" s="213"/>
      <c r="M48" s="213"/>
      <c r="N48" s="213"/>
      <c r="O48" s="213"/>
      <c r="P48" s="213"/>
      <c r="Q48" s="277"/>
      <c r="R48" s="245"/>
      <c r="S48" s="71"/>
      <c r="T48" s="118"/>
      <c r="U48" s="67"/>
      <c r="V48" s="67"/>
    </row>
    <row r="49" spans="1:22" s="67" customFormat="1" ht="51.75" thickBot="1">
      <c r="B49" s="279" t="s">
        <v>224</v>
      </c>
      <c r="C49" s="280" t="s">
        <v>225</v>
      </c>
      <c r="D49" s="281"/>
      <c r="E49" s="281"/>
      <c r="F49" s="281"/>
      <c r="G49" s="281"/>
      <c r="H49" s="133" t="s">
        <v>226</v>
      </c>
      <c r="I49" s="132" t="s">
        <v>161</v>
      </c>
      <c r="J49" s="133" t="s">
        <v>162</v>
      </c>
      <c r="K49" s="134" t="s">
        <v>227</v>
      </c>
      <c r="L49" s="282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3"/>
      <c r="R49" s="140"/>
      <c r="U49" s="71"/>
      <c r="V49" s="71"/>
    </row>
    <row r="50" spans="1:22" s="71" customFormat="1" ht="19.899999999999999" customHeight="1" thickBot="1">
      <c r="B50" s="141" t="s">
        <v>228</v>
      </c>
      <c r="C50" s="142"/>
      <c r="D50" s="143"/>
      <c r="E50" s="143"/>
      <c r="F50" s="143"/>
      <c r="G50" s="143"/>
      <c r="H50" s="371"/>
      <c r="I50" s="146">
        <f>SUM(I51:I54)</f>
        <v>17940</v>
      </c>
      <c r="J50" s="147">
        <f>SUM(J51:J54)</f>
        <v>0</v>
      </c>
      <c r="K50" s="148">
        <f>SUM(K51:K54)</f>
        <v>17940</v>
      </c>
      <c r="L50" s="146">
        <f t="shared" ref="L50:P50" si="21">SUM(L51:L54)</f>
        <v>0</v>
      </c>
      <c r="M50" s="145">
        <f t="shared" si="21"/>
        <v>0</v>
      </c>
      <c r="N50" s="145">
        <f t="shared" si="21"/>
        <v>0</v>
      </c>
      <c r="O50" s="146">
        <f t="shared" si="21"/>
        <v>0</v>
      </c>
      <c r="P50" s="148">
        <f t="shared" si="21"/>
        <v>0</v>
      </c>
      <c r="Q50" s="181"/>
      <c r="R50" s="284"/>
    </row>
    <row r="51" spans="1:22" s="71" customFormat="1" ht="16.899999999999999" customHeight="1" outlineLevel="2">
      <c r="B51" s="285" t="s">
        <v>229</v>
      </c>
      <c r="C51" s="286" t="s">
        <v>230</v>
      </c>
      <c r="D51" s="287"/>
      <c r="E51" s="287"/>
      <c r="F51" s="287"/>
      <c r="G51" s="288"/>
      <c r="H51" s="164">
        <f>IF(H5="Formation courte",312/2,312)</f>
        <v>312</v>
      </c>
      <c r="I51" s="164">
        <f>H51*E8</f>
        <v>4680</v>
      </c>
      <c r="J51" s="165">
        <f t="shared" ref="J51:J54" si="22">I51-K51</f>
        <v>0</v>
      </c>
      <c r="K51" s="166">
        <f>I51</f>
        <v>4680</v>
      </c>
      <c r="L51" s="289"/>
      <c r="M51" s="290"/>
      <c r="N51" s="290"/>
      <c r="O51" s="291"/>
      <c r="P51" s="168">
        <f>SUM(L51:O51)</f>
        <v>0</v>
      </c>
      <c r="Q51" s="181"/>
      <c r="R51" s="245"/>
      <c r="U51" s="119"/>
      <c r="V51" s="119"/>
    </row>
    <row r="52" spans="1:22" s="119" customFormat="1" ht="18.75" customHeight="1" outlineLevel="2">
      <c r="B52" s="285" t="s">
        <v>231</v>
      </c>
      <c r="C52" s="292" t="s">
        <v>232</v>
      </c>
      <c r="D52" s="293"/>
      <c r="E52" s="293"/>
      <c r="F52" s="293"/>
      <c r="G52" s="294"/>
      <c r="H52" s="164">
        <f>IF(OR(H5="Diplôme Universitaire",H5="Formation courte"),708/500*Enseignements!H7,708)</f>
        <v>708</v>
      </c>
      <c r="I52" s="164">
        <f>H52*$E$7</f>
        <v>10620</v>
      </c>
      <c r="J52" s="165">
        <f>I52-K52</f>
        <v>0</v>
      </c>
      <c r="K52" s="166">
        <f>IF($E$7=0,0,I52/$E$7*$E$8)</f>
        <v>10620</v>
      </c>
      <c r="L52" s="289"/>
      <c r="M52" s="290"/>
      <c r="N52" s="290"/>
      <c r="O52" s="77"/>
      <c r="P52" s="172">
        <f>SUM(L52:O52)</f>
        <v>0</v>
      </c>
      <c r="Q52" s="123"/>
      <c r="R52" s="245"/>
      <c r="S52" s="71"/>
    </row>
    <row r="53" spans="1:22" s="119" customFormat="1" ht="18.75" customHeight="1" outlineLevel="2">
      <c r="B53" s="285" t="s">
        <v>233</v>
      </c>
      <c r="C53" s="113" t="s">
        <v>234</v>
      </c>
      <c r="D53" s="295"/>
      <c r="E53" s="295"/>
      <c r="F53" s="295"/>
      <c r="G53" s="295"/>
      <c r="H53" s="164">
        <f>IF(OR(H5="Diplôme Universitaire",H5="Formation courte"),90/500*Enseignements!H7,90)</f>
        <v>90</v>
      </c>
      <c r="I53" s="164">
        <f t="shared" ref="I53:I58" si="23">H53*$E$7</f>
        <v>1350</v>
      </c>
      <c r="J53" s="165">
        <f t="shared" si="22"/>
        <v>0</v>
      </c>
      <c r="K53" s="166">
        <f t="shared" ref="K53:K58" si="24">IF($E$7=0,0,I53/$E$7*$E$8)</f>
        <v>1350</v>
      </c>
      <c r="L53" s="289"/>
      <c r="M53" s="290"/>
      <c r="N53" s="290"/>
      <c r="O53" s="77"/>
      <c r="P53" s="172">
        <f>SUM(L53:O53)</f>
        <v>0</v>
      </c>
      <c r="Q53" s="123"/>
      <c r="R53" s="245"/>
      <c r="S53" s="71"/>
    </row>
    <row r="54" spans="1:22" s="119" customFormat="1" ht="18.75" customHeight="1" outlineLevel="2" thickBot="1">
      <c r="B54" s="285" t="s">
        <v>235</v>
      </c>
      <c r="C54" s="113" t="s">
        <v>236</v>
      </c>
      <c r="D54" s="295"/>
      <c r="E54" s="295"/>
      <c r="F54" s="295"/>
      <c r="G54" s="295"/>
      <c r="H54" s="164">
        <f>IF(OR(H5="Diplôme Universitaire",H5="Formation courte"),86/500*Enseignements!H7,86)</f>
        <v>86</v>
      </c>
      <c r="I54" s="164">
        <f t="shared" si="23"/>
        <v>1290</v>
      </c>
      <c r="J54" s="165">
        <f t="shared" si="22"/>
        <v>0</v>
      </c>
      <c r="K54" s="166">
        <f t="shared" si="24"/>
        <v>1290</v>
      </c>
      <c r="L54" s="289"/>
      <c r="M54" s="290"/>
      <c r="N54" s="290"/>
      <c r="O54" s="77"/>
      <c r="P54" s="172">
        <f>SUM(L54:O54)</f>
        <v>0</v>
      </c>
      <c r="Q54" s="123"/>
      <c r="R54" s="245"/>
      <c r="S54" s="71"/>
      <c r="U54" s="71"/>
      <c r="V54" s="71"/>
    </row>
    <row r="55" spans="1:22" s="71" customFormat="1" ht="19.149999999999999" customHeight="1" thickBot="1">
      <c r="B55" s="141" t="s">
        <v>237</v>
      </c>
      <c r="C55" s="142"/>
      <c r="D55" s="143"/>
      <c r="E55" s="143"/>
      <c r="F55" s="143"/>
      <c r="G55" s="143"/>
      <c r="H55" s="266"/>
      <c r="I55" s="146">
        <f>SUM(I56:I58)</f>
        <v>14460</v>
      </c>
      <c r="J55" s="147">
        <f>SUM(J56:J58)</f>
        <v>0</v>
      </c>
      <c r="K55" s="148">
        <f>SUM(K56:K58)</f>
        <v>14460</v>
      </c>
      <c r="L55" s="146">
        <f t="shared" ref="L55:P55" si="25">SUM(L56:L58)</f>
        <v>0</v>
      </c>
      <c r="M55" s="145">
        <f t="shared" si="25"/>
        <v>0</v>
      </c>
      <c r="N55" s="145">
        <f t="shared" si="25"/>
        <v>0</v>
      </c>
      <c r="O55" s="146">
        <f t="shared" si="25"/>
        <v>0</v>
      </c>
      <c r="P55" s="148">
        <f t="shared" si="25"/>
        <v>0</v>
      </c>
      <c r="Q55" s="296"/>
      <c r="R55" s="245"/>
    </row>
    <row r="56" spans="1:22" s="71" customFormat="1" ht="16.899999999999999" customHeight="1" outlineLevel="1">
      <c r="B56" s="95" t="s">
        <v>238</v>
      </c>
      <c r="C56" s="246" t="s">
        <v>239</v>
      </c>
      <c r="D56" s="247"/>
      <c r="E56" s="247"/>
      <c r="F56" s="247"/>
      <c r="G56" s="247"/>
      <c r="H56" s="164">
        <f>IF(OR(H5="Diplôme Universitaire",H5="Formation courte"),222/500*Enseignements!H7,222)</f>
        <v>222</v>
      </c>
      <c r="I56" s="164">
        <f t="shared" si="23"/>
        <v>3330</v>
      </c>
      <c r="J56" s="165">
        <f t="shared" ref="J56:J58" si="26">I56-K56</f>
        <v>0</v>
      </c>
      <c r="K56" s="166">
        <f t="shared" si="24"/>
        <v>3330</v>
      </c>
      <c r="L56" s="289"/>
      <c r="M56" s="290"/>
      <c r="N56" s="290"/>
      <c r="O56" s="77"/>
      <c r="P56" s="172">
        <f>SUM(L56:O56)</f>
        <v>0</v>
      </c>
      <c r="Q56" s="123"/>
      <c r="R56" s="297"/>
    </row>
    <row r="57" spans="1:22" s="71" customFormat="1" ht="16.899999999999999" customHeight="1" outlineLevel="1">
      <c r="B57" s="95" t="s">
        <v>240</v>
      </c>
      <c r="C57" s="246" t="s">
        <v>241</v>
      </c>
      <c r="D57" s="247"/>
      <c r="E57" s="247"/>
      <c r="F57" s="247"/>
      <c r="G57" s="247"/>
      <c r="H57" s="164">
        <f>IF(OR(H5="Diplôme Universitaire",H5="Formation courte"),550/500*Enseignements!H7,550)</f>
        <v>550</v>
      </c>
      <c r="I57" s="164">
        <f t="shared" si="23"/>
        <v>8250</v>
      </c>
      <c r="J57" s="165">
        <f t="shared" si="26"/>
        <v>0</v>
      </c>
      <c r="K57" s="166">
        <f t="shared" si="24"/>
        <v>8250</v>
      </c>
      <c r="L57" s="289"/>
      <c r="M57" s="290"/>
      <c r="N57" s="290"/>
      <c r="O57" s="77"/>
      <c r="P57" s="172">
        <f>SUM(L57:O57)</f>
        <v>0</v>
      </c>
      <c r="Q57" s="123"/>
      <c r="R57" s="245"/>
    </row>
    <row r="58" spans="1:22" s="71" customFormat="1" ht="16.899999999999999" customHeight="1" outlineLevel="1" thickBot="1">
      <c r="B58" s="95" t="s">
        <v>242</v>
      </c>
      <c r="C58" s="246" t="s">
        <v>243</v>
      </c>
      <c r="D58" s="247"/>
      <c r="E58" s="247"/>
      <c r="F58" s="247"/>
      <c r="G58" s="247"/>
      <c r="H58" s="164">
        <f>IF(OR(H5="Diplôme Universitaire",H5="Formation courte"),192/500*Enseignements!H7,192)</f>
        <v>192</v>
      </c>
      <c r="I58" s="164">
        <f t="shared" si="23"/>
        <v>2880</v>
      </c>
      <c r="J58" s="165">
        <f t="shared" si="26"/>
        <v>0</v>
      </c>
      <c r="K58" s="166">
        <f t="shared" si="24"/>
        <v>2880</v>
      </c>
      <c r="L58" s="289"/>
      <c r="M58" s="290"/>
      <c r="N58" s="290"/>
      <c r="O58" s="77"/>
      <c r="P58" s="172">
        <f>SUM(L58:O58)</f>
        <v>0</v>
      </c>
      <c r="Q58" s="123"/>
      <c r="R58" s="245"/>
    </row>
    <row r="59" spans="1:22" s="71" customFormat="1" ht="21.6" customHeight="1" thickBot="1">
      <c r="B59" s="141" t="s">
        <v>244</v>
      </c>
      <c r="C59" s="142"/>
      <c r="D59" s="143"/>
      <c r="E59" s="143"/>
      <c r="F59" s="143"/>
      <c r="G59" s="143"/>
      <c r="H59" s="266"/>
      <c r="I59" s="146">
        <f>I50+I55</f>
        <v>32400</v>
      </c>
      <c r="J59" s="147">
        <f>J50+J55</f>
        <v>0</v>
      </c>
      <c r="K59" s="148">
        <f>K50+K55</f>
        <v>32400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0.28421052631578947</v>
      </c>
      <c r="R59" s="298" t="s">
        <v>169</v>
      </c>
      <c r="S59" s="299">
        <f>IF((K59+K46)=0,0,K59/(K59+K46))</f>
        <v>0.30307282166409427</v>
      </c>
      <c r="T59" s="151" t="s">
        <v>245</v>
      </c>
      <c r="U59" s="68"/>
    </row>
    <row r="60" spans="1:22" ht="21" customHeight="1" thickBot="1">
      <c r="A60" s="71"/>
      <c r="B60" s="272"/>
      <c r="C60" s="300"/>
      <c r="D60" s="300"/>
      <c r="E60" s="274"/>
      <c r="F60" s="274"/>
      <c r="G60" s="274"/>
      <c r="H60" s="72" t="s">
        <v>246</v>
      </c>
      <c r="I60" s="265">
        <f>IF(E7=0,0,I59/E7)</f>
        <v>2160</v>
      </c>
      <c r="J60" s="265">
        <f>IF((E7-E8)=0,0,J59/(E7-E8))</f>
        <v>0</v>
      </c>
      <c r="K60" s="276">
        <f>IF(E8=0,0,K59/E8)</f>
        <v>2160</v>
      </c>
      <c r="L60" s="213"/>
      <c r="M60" s="213"/>
      <c r="N60" s="213"/>
      <c r="O60" s="213"/>
      <c r="P60" s="213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1"/>
      <c r="C61" s="302"/>
      <c r="D61" s="302"/>
      <c r="E61" s="302"/>
      <c r="F61" s="302"/>
      <c r="G61" s="302"/>
      <c r="H61" s="302"/>
      <c r="I61" s="303"/>
      <c r="J61" s="303"/>
      <c r="K61" s="304"/>
      <c r="L61" s="305"/>
      <c r="M61" s="305"/>
      <c r="N61" s="305"/>
      <c r="O61" s="305"/>
      <c r="P61" s="305"/>
      <c r="Q61" s="306"/>
      <c r="R61" s="67"/>
    </row>
    <row r="62" spans="1:22" s="71" customFormat="1" ht="24.6" customHeight="1" thickBot="1">
      <c r="B62" s="307" t="s">
        <v>247</v>
      </c>
      <c r="C62" s="307"/>
      <c r="D62" s="308"/>
      <c r="E62" s="309"/>
      <c r="F62" s="308"/>
      <c r="G62" s="310"/>
      <c r="H62" s="311"/>
      <c r="I62" s="312">
        <f>I59+I46</f>
        <v>106905</v>
      </c>
      <c r="J62" s="312">
        <f>J59+J46</f>
        <v>0</v>
      </c>
      <c r="K62" s="313">
        <f>K59+K46</f>
        <v>106905</v>
      </c>
      <c r="L62" s="312">
        <f t="shared" ref="L62:O62" si="28">L59+L46</f>
        <v>0</v>
      </c>
      <c r="M62" s="312">
        <f t="shared" si="28"/>
        <v>0</v>
      </c>
      <c r="N62" s="312">
        <f t="shared" si="28"/>
        <v>0</v>
      </c>
      <c r="O62" s="312">
        <f t="shared" si="28"/>
        <v>0</v>
      </c>
      <c r="P62" s="313">
        <f>P59+P46</f>
        <v>0</v>
      </c>
      <c r="Q62" s="150">
        <f>IF($K$72=0,0,K62/$K$72)</f>
        <v>0.93776315789473685</v>
      </c>
      <c r="R62" s="151" t="s">
        <v>169</v>
      </c>
      <c r="U62" s="119"/>
      <c r="V62" s="119"/>
    </row>
    <row r="63" spans="1:22" s="119" customFormat="1" ht="18.75" customHeight="1">
      <c r="B63" s="206"/>
      <c r="C63" s="287"/>
      <c r="D63" s="314"/>
      <c r="E63" s="314"/>
      <c r="F63" s="314"/>
      <c r="G63" s="315"/>
      <c r="H63" s="315" t="s">
        <v>248</v>
      </c>
      <c r="I63" s="316">
        <f>IF(E7=0,0,I62/$E$7)</f>
        <v>7127</v>
      </c>
      <c r="J63" s="317">
        <f>IF(($E$7-$E$8)=0,0,J62/($E$7-$E$8))</f>
        <v>0</v>
      </c>
      <c r="K63" s="318">
        <f>IF(E8=0,0,K62/$E$8)</f>
        <v>7127</v>
      </c>
      <c r="L63" s="319"/>
      <c r="M63" s="319"/>
      <c r="N63" s="319"/>
      <c r="O63" s="320"/>
      <c r="P63" s="320"/>
      <c r="Q63" s="123"/>
      <c r="R63" s="245"/>
      <c r="S63" s="71"/>
    </row>
    <row r="64" spans="1:22" s="119" customFormat="1" ht="18.600000000000001" customHeight="1" thickBot="1">
      <c r="B64" s="218"/>
      <c r="C64" s="321"/>
      <c r="D64" s="322"/>
      <c r="E64" s="322"/>
      <c r="F64" s="322"/>
      <c r="G64" s="323"/>
      <c r="H64" s="323" t="s">
        <v>249</v>
      </c>
      <c r="I64" s="256">
        <f t="shared" ref="I64:P64" si="29">IF(I33=0,0,I62/I33)</f>
        <v>242.14043035107588</v>
      </c>
      <c r="J64" s="256">
        <f t="shared" si="29"/>
        <v>0</v>
      </c>
      <c r="K64" s="256">
        <f t="shared" si="29"/>
        <v>242.14043035107588</v>
      </c>
      <c r="L64" s="256">
        <f t="shared" si="29"/>
        <v>0</v>
      </c>
      <c r="M64" s="256">
        <f t="shared" si="29"/>
        <v>0</v>
      </c>
      <c r="N64" s="256">
        <f t="shared" si="29"/>
        <v>0</v>
      </c>
      <c r="O64" s="256">
        <f t="shared" si="29"/>
        <v>0</v>
      </c>
      <c r="P64" s="364">
        <f t="shared" si="29"/>
        <v>0</v>
      </c>
      <c r="Q64" s="365"/>
      <c r="R64" s="245"/>
      <c r="S64" s="71"/>
      <c r="U64" s="71"/>
      <c r="V64" s="71"/>
    </row>
    <row r="65" spans="2:24" ht="13.5" thickBot="1">
      <c r="B65" s="324"/>
      <c r="C65" s="324"/>
      <c r="D65" s="324"/>
      <c r="E65" s="324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5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491" t="s">
        <v>250</v>
      </c>
      <c r="C66" s="492"/>
      <c r="D66" s="492"/>
      <c r="E66" s="492"/>
      <c r="F66" s="492"/>
      <c r="G66" s="492"/>
      <c r="H66" s="492"/>
      <c r="I66" s="492"/>
      <c r="J66" s="492"/>
      <c r="K66" s="482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6"/>
      <c r="C67" s="71"/>
      <c r="D67" s="71"/>
      <c r="E67" s="71"/>
      <c r="F67" s="71"/>
      <c r="G67" s="71"/>
      <c r="H67" s="108"/>
      <c r="I67" s="327"/>
      <c r="J67" s="327"/>
      <c r="K67" s="328"/>
      <c r="L67" s="329"/>
      <c r="M67" s="329"/>
      <c r="N67" s="329"/>
      <c r="O67" s="329"/>
      <c r="P67" s="329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>
      <c r="B68" s="279" t="s">
        <v>251</v>
      </c>
      <c r="C68" s="280" t="s">
        <v>252</v>
      </c>
      <c r="D68" s="281"/>
      <c r="E68" s="281"/>
      <c r="F68" s="281"/>
      <c r="G68" s="281"/>
      <c r="H68" s="330"/>
      <c r="I68" s="331" t="s">
        <v>161</v>
      </c>
      <c r="J68" s="133" t="s">
        <v>162</v>
      </c>
      <c r="K68" s="134" t="s">
        <v>227</v>
      </c>
      <c r="L68" s="282" t="s">
        <v>164</v>
      </c>
      <c r="M68" s="132" t="s">
        <v>165</v>
      </c>
      <c r="N68" s="132" t="s">
        <v>166</v>
      </c>
      <c r="O68" s="332" t="s">
        <v>167</v>
      </c>
      <c r="P68" s="333" t="s">
        <v>0</v>
      </c>
      <c r="Q68" s="283"/>
      <c r="R68" s="140"/>
      <c r="U68" s="71"/>
      <c r="V68" s="71"/>
    </row>
    <row r="69" spans="2:24" ht="24" customHeight="1">
      <c r="B69" s="234" t="s">
        <v>253</v>
      </c>
      <c r="C69" s="286" t="s">
        <v>254</v>
      </c>
      <c r="D69" s="334"/>
      <c r="E69" s="334"/>
      <c r="F69" s="334"/>
      <c r="G69" s="334"/>
      <c r="H69" s="335"/>
      <c r="I69" s="336">
        <f>J69+K69</f>
        <v>114000</v>
      </c>
      <c r="J69" s="336">
        <f>'Recettes et simulat'!G16</f>
        <v>0</v>
      </c>
      <c r="K69" s="337">
        <f>'Recettes et simulat'!J28</f>
        <v>114000</v>
      </c>
      <c r="L69" s="240"/>
      <c r="M69" s="241"/>
      <c r="N69" s="338"/>
      <c r="O69" s="338"/>
      <c r="P69" s="243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1" t="s">
        <v>255</v>
      </c>
      <c r="C70" s="252" t="s">
        <v>256</v>
      </c>
      <c r="D70" s="339"/>
      <c r="E70" s="339"/>
      <c r="F70" s="339"/>
      <c r="G70" s="339"/>
      <c r="H70" s="340"/>
      <c r="I70" s="341">
        <f>J70+K70</f>
        <v>0</v>
      </c>
      <c r="J70" s="342"/>
      <c r="K70" s="343">
        <f>'Recettes et simulat'!F39</f>
        <v>0</v>
      </c>
      <c r="L70" s="258"/>
      <c r="M70" s="259"/>
      <c r="N70" s="259"/>
      <c r="O70" s="344"/>
      <c r="P70" s="261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>
      <c r="B71" s="345"/>
      <c r="C71" s="346"/>
      <c r="D71" s="347"/>
      <c r="E71" s="346"/>
      <c r="F71" s="347"/>
      <c r="G71" s="347"/>
      <c r="H71" s="347"/>
      <c r="I71" s="348"/>
      <c r="J71" s="348"/>
      <c r="K71" s="349"/>
      <c r="L71" s="348"/>
      <c r="M71" s="348"/>
      <c r="N71" s="348"/>
      <c r="O71" s="348"/>
      <c r="P71" s="348"/>
      <c r="Q71" s="350"/>
      <c r="R71" s="351"/>
      <c r="S71" s="352"/>
      <c r="T71" s="71"/>
      <c r="U71" s="71"/>
      <c r="V71" s="71"/>
      <c r="W71" s="71"/>
      <c r="X71" s="67"/>
    </row>
    <row r="72" spans="2:24" s="71" customFormat="1" ht="24.6" customHeight="1" thickBot="1">
      <c r="B72" s="307" t="s">
        <v>257</v>
      </c>
      <c r="C72" s="307"/>
      <c r="D72" s="308"/>
      <c r="E72" s="309"/>
      <c r="F72" s="308"/>
      <c r="G72" s="310"/>
      <c r="H72" s="311"/>
      <c r="I72" s="312">
        <f>I69+I70</f>
        <v>114000</v>
      </c>
      <c r="J72" s="312">
        <f>J69+J70</f>
        <v>0</v>
      </c>
      <c r="K72" s="313">
        <f>K69+K70</f>
        <v>114000</v>
      </c>
      <c r="L72" s="312">
        <f t="shared" ref="L72:O72" si="30">L69+L70</f>
        <v>0</v>
      </c>
      <c r="M72" s="312">
        <f t="shared" si="30"/>
        <v>0</v>
      </c>
      <c r="N72" s="312">
        <f t="shared" si="30"/>
        <v>0</v>
      </c>
      <c r="O72" s="312">
        <f t="shared" si="30"/>
        <v>0</v>
      </c>
      <c r="P72" s="313">
        <f>P69+P70</f>
        <v>0</v>
      </c>
      <c r="U72" s="119"/>
      <c r="V72" s="119"/>
      <c r="X72" s="67"/>
    </row>
    <row r="73" spans="2:24" s="119" customFormat="1" ht="18" customHeight="1" thickBot="1">
      <c r="B73" s="272"/>
      <c r="C73" s="300"/>
      <c r="D73" s="353"/>
      <c r="E73" s="353"/>
      <c r="F73" s="353"/>
      <c r="G73" s="354"/>
      <c r="H73" s="354" t="s">
        <v>258</v>
      </c>
      <c r="I73" s="355"/>
      <c r="J73" s="355"/>
      <c r="K73" s="356">
        <f>IF(E8=0,0,K72/$E$8)</f>
        <v>7600</v>
      </c>
      <c r="L73" s="319"/>
      <c r="M73" s="319"/>
      <c r="N73" s="319"/>
      <c r="O73" s="320"/>
      <c r="P73" s="320"/>
      <c r="Q73" s="123"/>
      <c r="R73" s="245"/>
      <c r="S73" s="71"/>
    </row>
    <row r="74" spans="2:24" s="71" customFormat="1" ht="13.5" thickBot="1">
      <c r="C74" s="324"/>
      <c r="D74" s="324"/>
      <c r="E74" s="324"/>
      <c r="F74" s="324"/>
      <c r="G74" s="324"/>
      <c r="H74" s="324"/>
      <c r="I74" s="357"/>
      <c r="J74" s="357"/>
      <c r="K74" s="357"/>
      <c r="L74" s="357"/>
      <c r="M74" s="357"/>
      <c r="N74" s="357"/>
      <c r="O74" s="357"/>
      <c r="P74" s="357"/>
      <c r="Q74" s="68"/>
      <c r="R74" s="67"/>
    </row>
    <row r="75" spans="2:24" s="71" customFormat="1" ht="24.6" customHeight="1" thickBot="1">
      <c r="B75" s="307" t="s">
        <v>259</v>
      </c>
      <c r="C75" s="307"/>
      <c r="D75" s="308"/>
      <c r="E75" s="309"/>
      <c r="F75" s="308"/>
      <c r="G75" s="310"/>
      <c r="H75" s="311"/>
      <c r="I75" s="312">
        <f t="shared" ref="I75:P75" si="31">I72-I62</f>
        <v>7095</v>
      </c>
      <c r="J75" s="312">
        <f t="shared" si="31"/>
        <v>0</v>
      </c>
      <c r="K75" s="313">
        <f t="shared" si="31"/>
        <v>7095</v>
      </c>
      <c r="L75" s="312">
        <f t="shared" si="31"/>
        <v>0</v>
      </c>
      <c r="M75" s="312">
        <f t="shared" si="31"/>
        <v>0</v>
      </c>
      <c r="N75" s="312">
        <f t="shared" si="31"/>
        <v>0</v>
      </c>
      <c r="O75" s="312">
        <f t="shared" si="31"/>
        <v>0</v>
      </c>
      <c r="P75" s="313">
        <f t="shared" si="31"/>
        <v>0</v>
      </c>
      <c r="Q75" s="150">
        <f>IF($K$72=0,0,K75/$K$72)</f>
        <v>6.223684210526316E-2</v>
      </c>
      <c r="R75" s="151" t="s">
        <v>169</v>
      </c>
      <c r="U75" s="119"/>
      <c r="V75" s="119"/>
      <c r="X75" s="67"/>
    </row>
    <row r="76" spans="2:24" s="71" customFormat="1" ht="14.45" hidden="1" customHeight="1" thickBot="1">
      <c r="B76" s="307" t="s">
        <v>260</v>
      </c>
      <c r="C76" s="307"/>
      <c r="D76" s="308"/>
      <c r="E76" s="309"/>
      <c r="F76" s="308"/>
      <c r="G76" s="310"/>
      <c r="H76" s="311"/>
      <c r="I76" s="312">
        <f>'Budget détaillé heures comp'!I75</f>
        <v>60102.26</v>
      </c>
      <c r="J76" s="312">
        <f>'Budget détaillé heures comp'!J75</f>
        <v>0</v>
      </c>
      <c r="K76" s="313">
        <f>'Budget détaillé heures comp'!K75</f>
        <v>60102.26</v>
      </c>
      <c r="L76" s="312"/>
      <c r="M76" s="312"/>
      <c r="N76" s="312"/>
      <c r="O76" s="312"/>
      <c r="P76" s="313"/>
      <c r="Q76" s="150">
        <f>IF($K$72=0,0,K76/$K$72)</f>
        <v>0.52721280701754392</v>
      </c>
      <c r="R76" s="151" t="s">
        <v>169</v>
      </c>
      <c r="U76" s="119"/>
      <c r="V76" s="119"/>
      <c r="X76" s="67"/>
    </row>
    <row r="77" spans="2:24">
      <c r="B77" s="71"/>
      <c r="C77" s="71"/>
      <c r="D77" s="71"/>
      <c r="E77" s="71"/>
      <c r="F77" s="71"/>
      <c r="G77" s="71"/>
      <c r="H77" s="108"/>
      <c r="I77" s="109"/>
      <c r="J77" s="110"/>
      <c r="K77" s="108"/>
      <c r="L77" s="108"/>
      <c r="M77" s="108"/>
      <c r="N77" s="108"/>
      <c r="O77" s="108"/>
      <c r="P77" s="108"/>
      <c r="Q77" s="67"/>
      <c r="R77" s="67"/>
      <c r="S77" s="71"/>
      <c r="T77" s="71"/>
      <c r="U77" s="71"/>
      <c r="V77" s="71"/>
      <c r="W77" s="71"/>
      <c r="X77" s="71"/>
    </row>
  </sheetData>
  <sheetProtection algorithmName="SHA-512" hashValue="VZ96SJ6OryXiRnqwIx2cXKwYi9SbfUjbvcly4J9A6bw2SGhDB7J+SKC+0MC7v+LcvVVewTDNe2mQ1vFndbOKWg==" saltValue="AdGPIZb+jYJnhq+E8NwSfw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32"/>
  <sheetViews>
    <sheetView zoomScale="85" zoomScaleNormal="85" workbookViewId="0"/>
  </sheetViews>
  <sheetFormatPr defaultColWidth="11.5703125" defaultRowHeight="12.7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.140625" style="1" hidden="1" customWidth="1"/>
    <col min="6" max="6" width="5.5703125" style="1" hidden="1" customWidth="1"/>
    <col min="7" max="7" width="11.5703125" style="1"/>
    <col min="8" max="8" width="59.28515625" style="1" bestFit="1" customWidth="1"/>
    <col min="9" max="16384" width="11.5703125" style="1"/>
  </cols>
  <sheetData>
    <row r="3" spans="2:8">
      <c r="B3" s="508" t="s">
        <v>261</v>
      </c>
      <c r="C3" s="509"/>
      <c r="D3" s="509"/>
      <c r="E3" s="4"/>
      <c r="F3" s="4"/>
      <c r="H3" s="8" t="s">
        <v>262</v>
      </c>
    </row>
    <row r="4" spans="2:8">
      <c r="C4" s="6"/>
      <c r="D4" s="6"/>
      <c r="E4" s="6"/>
      <c r="F4" s="7"/>
    </row>
    <row r="5" spans="2:8" ht="15">
      <c r="E5" s="1" t="s">
        <v>263</v>
      </c>
      <c r="F5" s="409" t="s">
        <v>264</v>
      </c>
    </row>
    <row r="6" spans="2:8" ht="15">
      <c r="B6" s="507" t="s">
        <v>265</v>
      </c>
      <c r="C6" s="4" t="s">
        <v>266</v>
      </c>
      <c r="D6" s="3" t="s">
        <v>36</v>
      </c>
      <c r="E6" s="3">
        <v>1</v>
      </c>
      <c r="F6" s="3">
        <v>1.5</v>
      </c>
      <c r="H6" s="5" t="s">
        <v>267</v>
      </c>
    </row>
    <row r="7" spans="2:8" ht="15">
      <c r="B7" s="507"/>
      <c r="C7" s="4" t="s">
        <v>268</v>
      </c>
      <c r="D7" s="372" t="s">
        <v>42</v>
      </c>
      <c r="E7" s="3">
        <v>1</v>
      </c>
      <c r="F7" s="3">
        <v>1</v>
      </c>
      <c r="H7" s="5" t="s">
        <v>269</v>
      </c>
    </row>
    <row r="8" spans="2:8" ht="15">
      <c r="B8" s="507"/>
      <c r="C8" s="5" t="s">
        <v>270</v>
      </c>
      <c r="D8" s="372" t="s">
        <v>271</v>
      </c>
      <c r="E8" s="3">
        <v>1</v>
      </c>
      <c r="F8" s="3">
        <v>0.66</v>
      </c>
      <c r="H8" s="5" t="s">
        <v>272</v>
      </c>
    </row>
    <row r="9" spans="2:8" ht="15">
      <c r="B9" s="507" t="s">
        <v>273</v>
      </c>
      <c r="C9" s="4" t="s">
        <v>274</v>
      </c>
      <c r="D9" s="372" t="s">
        <v>275</v>
      </c>
      <c r="E9" s="372">
        <v>0</v>
      </c>
      <c r="F9" s="3">
        <v>0</v>
      </c>
      <c r="H9" s="5" t="s">
        <v>276</v>
      </c>
    </row>
    <row r="10" spans="2:8" ht="15">
      <c r="B10" s="507"/>
      <c r="C10" s="5" t="s">
        <v>277</v>
      </c>
      <c r="D10" s="372" t="s">
        <v>278</v>
      </c>
      <c r="E10" s="3">
        <v>1</v>
      </c>
      <c r="F10" s="3">
        <v>1</v>
      </c>
      <c r="H10" s="5" t="s">
        <v>112</v>
      </c>
    </row>
    <row r="11" spans="2:8" ht="15">
      <c r="B11" s="507"/>
      <c r="C11" s="5" t="s">
        <v>279</v>
      </c>
      <c r="D11" s="372" t="s">
        <v>280</v>
      </c>
      <c r="E11" s="3">
        <v>1</v>
      </c>
      <c r="F11" s="3">
        <v>1.5</v>
      </c>
      <c r="H11" s="5" t="s">
        <v>281</v>
      </c>
    </row>
    <row r="12" spans="2:8" ht="15">
      <c r="B12" s="507"/>
      <c r="C12" s="4" t="s">
        <v>282</v>
      </c>
      <c r="D12" s="372" t="s">
        <v>95</v>
      </c>
      <c r="E12" s="3">
        <v>0</v>
      </c>
      <c r="F12" s="3">
        <v>0</v>
      </c>
      <c r="H12" s="5" t="s">
        <v>283</v>
      </c>
    </row>
    <row r="13" spans="2:8" ht="15">
      <c r="B13" s="507"/>
      <c r="C13" s="5" t="s">
        <v>284</v>
      </c>
      <c r="D13" s="372" t="s">
        <v>285</v>
      </c>
      <c r="E13" s="3">
        <v>1</v>
      </c>
      <c r="F13" s="3">
        <v>1</v>
      </c>
      <c r="H13" s="5" t="s">
        <v>286</v>
      </c>
    </row>
    <row r="14" spans="2:8" ht="15">
      <c r="B14" s="507"/>
      <c r="C14" s="5" t="s">
        <v>287</v>
      </c>
      <c r="D14" s="372" t="s">
        <v>288</v>
      </c>
      <c r="E14" s="3">
        <v>1</v>
      </c>
      <c r="F14" s="3">
        <v>1.5</v>
      </c>
      <c r="H14" s="5" t="s">
        <v>289</v>
      </c>
    </row>
    <row r="15" spans="2:8" ht="15">
      <c r="B15" s="507"/>
      <c r="C15" s="4" t="s">
        <v>290</v>
      </c>
      <c r="D15" s="372" t="s">
        <v>291</v>
      </c>
      <c r="E15" s="3">
        <v>0</v>
      </c>
      <c r="F15" s="3">
        <v>0</v>
      </c>
      <c r="H15" s="5" t="s">
        <v>292</v>
      </c>
    </row>
    <row r="16" spans="2:8" ht="15">
      <c r="B16" s="507"/>
      <c r="C16" s="5" t="s">
        <v>293</v>
      </c>
      <c r="D16" s="372" t="s">
        <v>294</v>
      </c>
      <c r="E16" s="3">
        <v>1</v>
      </c>
      <c r="F16" s="3">
        <v>1</v>
      </c>
      <c r="H16" s="5" t="s">
        <v>295</v>
      </c>
    </row>
    <row r="17" spans="2:18" ht="15">
      <c r="B17" s="507"/>
      <c r="C17" s="5" t="s">
        <v>296</v>
      </c>
      <c r="D17" s="372" t="s">
        <v>297</v>
      </c>
      <c r="E17" s="3">
        <v>1</v>
      </c>
      <c r="F17" s="3">
        <v>1.5</v>
      </c>
      <c r="H17" s="5" t="s">
        <v>298</v>
      </c>
    </row>
    <row r="18" spans="2:18" ht="15">
      <c r="B18" s="507"/>
      <c r="C18" s="4" t="s">
        <v>299</v>
      </c>
      <c r="D18" s="372" t="s">
        <v>100</v>
      </c>
      <c r="E18" s="3">
        <v>0</v>
      </c>
      <c r="F18" s="3">
        <v>0</v>
      </c>
      <c r="H18" s="2"/>
    </row>
    <row r="19" spans="2:18" ht="15">
      <c r="B19" s="507"/>
      <c r="C19" s="5" t="s">
        <v>300</v>
      </c>
      <c r="D19" s="372" t="s">
        <v>301</v>
      </c>
      <c r="E19" s="3">
        <v>1</v>
      </c>
      <c r="F19" s="3">
        <v>1</v>
      </c>
      <c r="H19" s="2"/>
    </row>
    <row r="20" spans="2:18" ht="15">
      <c r="B20" s="507"/>
      <c r="C20" s="5" t="s">
        <v>302</v>
      </c>
      <c r="D20" s="372" t="s">
        <v>303</v>
      </c>
      <c r="E20" s="3">
        <v>1</v>
      </c>
      <c r="F20" s="3">
        <v>1.5</v>
      </c>
    </row>
    <row r="21" spans="2:18" ht="15">
      <c r="B21" s="507"/>
      <c r="C21" s="4" t="s">
        <v>304</v>
      </c>
      <c r="D21" s="372" t="s">
        <v>305</v>
      </c>
      <c r="E21" s="3">
        <v>1</v>
      </c>
      <c r="F21" s="3">
        <v>1</v>
      </c>
    </row>
    <row r="22" spans="2:18" ht="15">
      <c r="B22" s="507"/>
      <c r="C22" s="4" t="s">
        <v>306</v>
      </c>
      <c r="D22" s="372" t="s">
        <v>307</v>
      </c>
      <c r="E22" s="3">
        <v>0</v>
      </c>
      <c r="F22" s="3">
        <v>0</v>
      </c>
    </row>
    <row r="23" spans="2:18" ht="15">
      <c r="B23" s="507"/>
      <c r="C23" s="5" t="s">
        <v>308</v>
      </c>
      <c r="D23" s="372" t="s">
        <v>309</v>
      </c>
      <c r="E23" s="372">
        <v>1</v>
      </c>
      <c r="F23" s="3">
        <v>1</v>
      </c>
    </row>
    <row r="24" spans="2:18" ht="15">
      <c r="B24" s="507"/>
      <c r="C24" s="5" t="s">
        <v>310</v>
      </c>
      <c r="D24" s="5" t="s">
        <v>311</v>
      </c>
      <c r="E24" s="4">
        <v>1</v>
      </c>
      <c r="F24" s="3">
        <v>1.5</v>
      </c>
    </row>
    <row r="25" spans="2:18" ht="15">
      <c r="B25" s="507"/>
      <c r="C25" s="4" t="s">
        <v>312</v>
      </c>
      <c r="D25" s="5" t="s">
        <v>313</v>
      </c>
      <c r="E25" s="5">
        <v>0</v>
      </c>
      <c r="F25" s="3">
        <v>0</v>
      </c>
    </row>
    <row r="26" spans="2:18">
      <c r="B26" s="507"/>
      <c r="C26" s="5" t="s">
        <v>314</v>
      </c>
      <c r="D26" s="5" t="s">
        <v>315</v>
      </c>
      <c r="E26" s="5">
        <v>1</v>
      </c>
      <c r="F26" s="4">
        <v>1</v>
      </c>
    </row>
    <row r="27" spans="2:18">
      <c r="B27" s="507"/>
      <c r="C27" s="5" t="s">
        <v>316</v>
      </c>
      <c r="D27" s="5" t="s">
        <v>317</v>
      </c>
      <c r="E27" s="5">
        <v>1</v>
      </c>
      <c r="F27" s="4">
        <v>1.5</v>
      </c>
    </row>
    <row r="31" spans="2:18">
      <c r="R31" s="119"/>
    </row>
    <row r="32" spans="2:18">
      <c r="R32" s="119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xmlns:xlrd2="http://schemas.microsoft.com/office/spreadsheetml/2017/richdata2"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2.7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491" t="s">
        <v>153</v>
      </c>
      <c r="C2" s="492"/>
      <c r="D2" s="492"/>
      <c r="E2" s="492"/>
      <c r="F2" s="492"/>
      <c r="G2" s="492"/>
      <c r="H2" s="492"/>
      <c r="I2" s="492"/>
      <c r="J2" s="492"/>
      <c r="K2" s="482"/>
      <c r="L2" s="491" t="s">
        <v>154</v>
      </c>
      <c r="M2" s="492"/>
      <c r="N2" s="492"/>
      <c r="O2" s="492"/>
      <c r="P2" s="482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103</v>
      </c>
      <c r="D5" s="501" t="str">
        <f>'Recettes et simulat'!D4</f>
        <v>Université Lumière Lyon 2</v>
      </c>
      <c r="E5" s="503"/>
      <c r="F5" s="71"/>
      <c r="G5" s="112" t="s">
        <v>105</v>
      </c>
      <c r="H5" s="501" t="str">
        <f>'Recettes et simulat'!H4</f>
        <v>Master</v>
      </c>
      <c r="I5" s="502"/>
      <c r="J5" s="502"/>
      <c r="K5" s="503"/>
      <c r="L5" s="108"/>
      <c r="M5" s="108"/>
      <c r="N5" s="108"/>
      <c r="O5" s="108"/>
      <c r="P5" s="108"/>
      <c r="Q5" s="67"/>
      <c r="R5" s="67"/>
      <c r="S5" s="71"/>
      <c r="T5" s="71"/>
      <c r="U5" s="75" t="s">
        <v>113</v>
      </c>
      <c r="V5" s="71"/>
    </row>
    <row r="6" spans="1:22" ht="22.15" customHeight="1">
      <c r="A6" s="71"/>
      <c r="B6" s="71"/>
      <c r="C6" s="111" t="s">
        <v>107</v>
      </c>
      <c r="D6" s="501">
        <f>'Recettes et simulat'!D5</f>
        <v>31493</v>
      </c>
      <c r="E6" s="503"/>
      <c r="F6" s="71"/>
      <c r="G6" s="112" t="s">
        <v>155</v>
      </c>
      <c r="H6" s="501" t="str">
        <f>'Recettes et simulat'!H5</f>
        <v>M2 Droit social
 INGENIERIE DE LA PROTECTION SOCIALE</v>
      </c>
      <c r="I6" s="502"/>
      <c r="J6" s="502"/>
      <c r="K6" s="503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110</v>
      </c>
      <c r="D7" s="114"/>
      <c r="E7" s="115">
        <f>'Recettes et simulat'!E6</f>
        <v>15</v>
      </c>
      <c r="F7" s="71"/>
      <c r="G7" s="112" t="s">
        <v>111</v>
      </c>
      <c r="H7" s="501" t="str">
        <f>'Recettes et simulat'!H6</f>
        <v>IETL - Institut d'Etudes du Travail de Lyon</v>
      </c>
      <c r="I7" s="502"/>
      <c r="J7" s="502"/>
      <c r="K7" s="503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114</v>
      </c>
      <c r="D8" s="114"/>
      <c r="E8" s="115">
        <f>'Recettes et simulat'!E7</f>
        <v>15</v>
      </c>
      <c r="F8" s="71"/>
      <c r="G8" s="76" t="s">
        <v>115</v>
      </c>
      <c r="H8" s="71"/>
      <c r="I8" s="71"/>
      <c r="J8" s="116">
        <f>'Recettes et simulat'!J7</f>
        <v>2021</v>
      </c>
      <c r="K8" s="116">
        <f>'Recettes et simulat'!K7</f>
        <v>2022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491" t="s">
        <v>156</v>
      </c>
      <c r="C11" s="492"/>
      <c r="D11" s="492"/>
      <c r="E11" s="492"/>
      <c r="F11" s="492"/>
      <c r="G11" s="492"/>
      <c r="H11" s="492"/>
      <c r="I11" s="492"/>
      <c r="J11" s="492"/>
      <c r="K11" s="482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>
      <c r="B13" s="130" t="s">
        <v>157</v>
      </c>
      <c r="C13" s="504" t="s">
        <v>158</v>
      </c>
      <c r="D13" s="505"/>
      <c r="E13" s="505"/>
      <c r="F13" s="506"/>
      <c r="G13" s="131" t="s">
        <v>159</v>
      </c>
      <c r="H13" s="132" t="s">
        <v>160</v>
      </c>
      <c r="I13" s="132" t="s">
        <v>161</v>
      </c>
      <c r="J13" s="133" t="s">
        <v>162</v>
      </c>
      <c r="K13" s="134" t="s">
        <v>163</v>
      </c>
      <c r="L13" s="135" t="s">
        <v>164</v>
      </c>
      <c r="M13" s="136" t="s">
        <v>165</v>
      </c>
      <c r="N13" s="136" t="s">
        <v>166</v>
      </c>
      <c r="O13" s="137" t="s">
        <v>167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168</v>
      </c>
      <c r="C14" s="142"/>
      <c r="D14" s="143"/>
      <c r="E14" s="143"/>
      <c r="F14" s="143"/>
      <c r="G14" s="144">
        <f>G20+G27+G32</f>
        <v>441.5</v>
      </c>
      <c r="H14" s="145">
        <f>IF(G20+G27+G32=0,0,(I20+I27+I32)/(G20+G27+G32))</f>
        <v>46.2009966024915</v>
      </c>
      <c r="I14" s="146">
        <f>I20+I32+I27</f>
        <v>20397.739999999998</v>
      </c>
      <c r="J14" s="147">
        <f>J20+J32+J27</f>
        <v>0</v>
      </c>
      <c r="K14" s="148">
        <f>K20+K32+K27</f>
        <v>20397.739999999998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0.1789275438596491</v>
      </c>
      <c r="R14" s="151" t="s">
        <v>169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170</v>
      </c>
      <c r="C15" s="153" t="s">
        <v>171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172</v>
      </c>
      <c r="C16" s="498" t="s">
        <v>23</v>
      </c>
      <c r="D16" s="499"/>
      <c r="E16" s="499"/>
      <c r="F16" s="500"/>
      <c r="G16" s="163">
        <f>'Budget détaillé'!G16</f>
        <v>160.5</v>
      </c>
      <c r="H16" s="164">
        <v>43.48</v>
      </c>
      <c r="I16" s="165">
        <f>H16*G16</f>
        <v>6978.5399999999991</v>
      </c>
      <c r="J16" s="165">
        <f>I16-K16</f>
        <v>0</v>
      </c>
      <c r="K16" s="166">
        <f>IF($E$7=0,0,I16/$E$7*$E$8)</f>
        <v>6978.5399999999991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>
        <f>IF($I16=0,0,IF($P16=0,0,$G16*$J16/$I16*L16/$P16))</f>
        <v>0</v>
      </c>
      <c r="S16" s="169">
        <f t="shared" ref="S16:U19" si="1">IF($I16=0,0,IF($P16=0,0,$G16*$J16/$I16*M16/$P16))</f>
        <v>0</v>
      </c>
      <c r="T16" s="169">
        <f t="shared" si="1"/>
        <v>0</v>
      </c>
      <c r="U16" s="169">
        <f>IF($I16=0,0,IF($P16=0,0,$G16*$J16/$I16*O16/$P16))</f>
        <v>0</v>
      </c>
      <c r="V16" s="170">
        <f>G16-Q16</f>
        <v>160.5</v>
      </c>
    </row>
    <row r="17" spans="2:23" s="119" customFormat="1" ht="16.899999999999999" customHeight="1" outlineLevel="1">
      <c r="B17" s="162" t="s">
        <v>173</v>
      </c>
      <c r="C17" s="498" t="s">
        <v>24</v>
      </c>
      <c r="D17" s="499"/>
      <c r="E17" s="499"/>
      <c r="F17" s="500"/>
      <c r="G17" s="163">
        <f>'Budget détaillé'!G17</f>
        <v>0</v>
      </c>
      <c r="H17" s="366">
        <f>ROUND(41.41*1.4319,2)</f>
        <v>59.29</v>
      </c>
      <c r="I17" s="171">
        <f>H17*G17</f>
        <v>0</v>
      </c>
      <c r="J17" s="165">
        <f t="shared" ref="J17:J19" si="2">I17-K17</f>
        <v>0</v>
      </c>
      <c r="K17" s="166">
        <f t="shared" ref="K17:K19" si="3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>
        <f t="shared" ref="R17:R19" si="4">IF($I17=0,0,IF($P17=0,0,$G17*$J17/$I17*L17/$P17))</f>
        <v>0</v>
      </c>
      <c r="S17" s="169">
        <f t="shared" si="1"/>
        <v>0</v>
      </c>
      <c r="T17" s="169">
        <f t="shared" si="1"/>
        <v>0</v>
      </c>
      <c r="U17" s="169">
        <f t="shared" si="1"/>
        <v>0</v>
      </c>
      <c r="V17" s="170">
        <f t="shared" ref="V17:V18" si="5">G17-Q17</f>
        <v>0</v>
      </c>
    </row>
    <row r="18" spans="2:23" s="119" customFormat="1" ht="16.899999999999999" customHeight="1" outlineLevel="1">
      <c r="B18" s="162" t="s">
        <v>174</v>
      </c>
      <c r="C18" s="498" t="s">
        <v>175</v>
      </c>
      <c r="D18" s="499"/>
      <c r="E18" s="499"/>
      <c r="F18" s="500"/>
      <c r="G18" s="163">
        <f>'Budget détaillé'!G18</f>
        <v>141</v>
      </c>
      <c r="H18" s="164">
        <v>52</v>
      </c>
      <c r="I18" s="171">
        <f>H18*G18</f>
        <v>7332</v>
      </c>
      <c r="J18" s="165">
        <f t="shared" si="2"/>
        <v>0</v>
      </c>
      <c r="K18" s="166">
        <f t="shared" si="3"/>
        <v>7332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>
        <f>IF($I18=0,0,IF($P18=0,0,$G18*$J18/$I18*L18/$P18))</f>
        <v>0</v>
      </c>
      <c r="S18" s="169">
        <f t="shared" si="1"/>
        <v>0</v>
      </c>
      <c r="T18" s="169">
        <f t="shared" si="1"/>
        <v>0</v>
      </c>
      <c r="U18" s="169">
        <f t="shared" si="1"/>
        <v>0</v>
      </c>
      <c r="V18" s="170">
        <f t="shared" si="5"/>
        <v>141</v>
      </c>
    </row>
    <row r="19" spans="2:23" s="119" customFormat="1" ht="18.600000000000001" customHeight="1" outlineLevel="1">
      <c r="B19" s="162" t="s">
        <v>176</v>
      </c>
      <c r="C19" s="498" t="s">
        <v>177</v>
      </c>
      <c r="D19" s="499"/>
      <c r="E19" s="499"/>
      <c r="F19" s="500"/>
      <c r="G19" s="163">
        <f>'Budget détaillé'!G19</f>
        <v>0</v>
      </c>
      <c r="H19" s="173">
        <f>'Budget détaillé'!H19</f>
        <v>0</v>
      </c>
      <c r="I19" s="171">
        <f t="shared" ref="I19" si="6">H19*G19</f>
        <v>0</v>
      </c>
      <c r="J19" s="165">
        <f t="shared" si="2"/>
        <v>0</v>
      </c>
      <c r="K19" s="166">
        <f t="shared" si="3"/>
        <v>0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>
        <f t="shared" si="4"/>
        <v>0</v>
      </c>
      <c r="S19" s="169">
        <f>IF($I19=0,0,IF($P19=0,0,$G19*$J19/$I19*M19/$P19))</f>
        <v>0</v>
      </c>
      <c r="T19" s="169">
        <f t="shared" si="1"/>
        <v>0</v>
      </c>
      <c r="U19" s="169">
        <f t="shared" si="1"/>
        <v>0</v>
      </c>
      <c r="V19" s="170">
        <f>G19-Q19</f>
        <v>0</v>
      </c>
    </row>
    <row r="20" spans="2:23" s="119" customFormat="1" ht="22.15" customHeight="1" outlineLevel="1" thickBot="1">
      <c r="B20" s="495" t="s">
        <v>178</v>
      </c>
      <c r="C20" s="496"/>
      <c r="D20" s="496"/>
      <c r="E20" s="496"/>
      <c r="F20" s="497"/>
      <c r="G20" s="175">
        <f>SUM(G16:G19)</f>
        <v>301.5</v>
      </c>
      <c r="H20" s="176">
        <f>IF(G20=0,0,I20/G20)</f>
        <v>47.464477611940296</v>
      </c>
      <c r="I20" s="177">
        <f>SUM(I16:I19)</f>
        <v>14310.539999999999</v>
      </c>
      <c r="J20" s="178">
        <f>SUM(J16:J19)</f>
        <v>0</v>
      </c>
      <c r="K20" s="179">
        <f>SUM(K16:K19)</f>
        <v>14310.539999999999</v>
      </c>
      <c r="L20" s="180">
        <f>SUM(L16:L19)</f>
        <v>0</v>
      </c>
      <c r="M20" s="177">
        <f>SUM(M16:M19)</f>
        <v>0</v>
      </c>
      <c r="N20" s="177">
        <f t="shared" ref="N20:P20" si="7">SUM(N16:N19)</f>
        <v>0</v>
      </c>
      <c r="O20" s="177">
        <f t="shared" si="7"/>
        <v>0</v>
      </c>
      <c r="P20" s="179">
        <f t="shared" si="7"/>
        <v>0</v>
      </c>
      <c r="Q20" s="150">
        <f>IF($K$72=0,0,K20/$K$72)</f>
        <v>0.12553105263157893</v>
      </c>
      <c r="R20" s="151" t="s">
        <v>169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179</v>
      </c>
      <c r="C21" s="153" t="s">
        <v>180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181</v>
      </c>
      <c r="C22" s="405" t="s">
        <v>182</v>
      </c>
      <c r="D22" s="407"/>
      <c r="E22" s="407"/>
      <c r="F22" s="408"/>
      <c r="G22" s="163">
        <f>'Budget détaillé'!G22</f>
        <v>0</v>
      </c>
      <c r="H22" s="164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8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>
        <f t="shared" ref="R22:T26" si="9">IF($I22=0,0,IF($P22=0,0,$G22*$J22/$I22*L22/$P22))</f>
        <v>0</v>
      </c>
      <c r="S22" s="169">
        <f t="shared" si="9"/>
        <v>0</v>
      </c>
      <c r="T22" s="169">
        <f>IF($I22=0,0,IF($P22=0,0,$G22*$J22/$I22*N22/$P22))</f>
        <v>0</v>
      </c>
      <c r="U22" s="169">
        <f t="shared" ref="U22:U26" si="10">IF($I22=0,0,IF($P22=0,0,$G22*$J22/$I22*O22/$P22))</f>
        <v>0</v>
      </c>
      <c r="V22" s="169">
        <f t="shared" ref="V22:V30" si="11">G22-Q22</f>
        <v>0</v>
      </c>
      <c r="W22" s="86"/>
    </row>
    <row r="23" spans="2:23" s="119" customFormat="1" ht="16.899999999999999" customHeight="1" outlineLevel="1">
      <c r="B23" s="162" t="s">
        <v>183</v>
      </c>
      <c r="C23" s="498" t="s">
        <v>184</v>
      </c>
      <c r="D23" s="499"/>
      <c r="E23" s="499"/>
      <c r="F23" s="500"/>
      <c r="G23" s="163">
        <f>'Budget détaillé'!G23</f>
        <v>0</v>
      </c>
      <c r="H23" s="164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>
        <f t="shared" si="9"/>
        <v>0</v>
      </c>
      <c r="S23" s="169">
        <f t="shared" si="9"/>
        <v>0</v>
      </c>
      <c r="T23" s="169">
        <f t="shared" si="9"/>
        <v>0</v>
      </c>
      <c r="U23" s="169">
        <f t="shared" si="10"/>
        <v>0</v>
      </c>
      <c r="V23" s="169">
        <f t="shared" si="11"/>
        <v>0</v>
      </c>
      <c r="W23" s="86"/>
    </row>
    <row r="24" spans="2:23" s="119" customFormat="1" ht="16.899999999999999" customHeight="1" outlineLevel="1">
      <c r="B24" s="162" t="s">
        <v>185</v>
      </c>
      <c r="C24" s="498" t="s">
        <v>186</v>
      </c>
      <c r="D24" s="499"/>
      <c r="E24" s="499"/>
      <c r="F24" s="500"/>
      <c r="G24" s="163">
        <f>'Budget détaillé'!G24</f>
        <v>0</v>
      </c>
      <c r="H24" s="164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>
        <f t="shared" si="9"/>
        <v>0</v>
      </c>
      <c r="S24" s="169">
        <f t="shared" si="9"/>
        <v>0</v>
      </c>
      <c r="T24" s="169">
        <f t="shared" si="9"/>
        <v>0</v>
      </c>
      <c r="U24" s="169">
        <f t="shared" si="10"/>
        <v>0</v>
      </c>
      <c r="V24" s="169">
        <f t="shared" si="11"/>
        <v>0</v>
      </c>
      <c r="W24" s="86"/>
    </row>
    <row r="25" spans="2:23" s="119" customFormat="1" ht="16.899999999999999" customHeight="1" outlineLevel="1">
      <c r="B25" s="162" t="s">
        <v>187</v>
      </c>
      <c r="C25" s="498" t="s">
        <v>188</v>
      </c>
      <c r="D25" s="499"/>
      <c r="E25" s="499"/>
      <c r="F25" s="500"/>
      <c r="G25" s="163">
        <f>'Budget détaillé'!G25</f>
        <v>120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5">
        <f>H25*G25</f>
        <v>5217.5999999999995</v>
      </c>
      <c r="J25" s="165">
        <f>I25-K25</f>
        <v>0</v>
      </c>
      <c r="K25" s="166">
        <f>I25</f>
        <v>5217.5999999999995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>
        <f t="shared" si="9"/>
        <v>0</v>
      </c>
      <c r="S25" s="169">
        <f t="shared" si="9"/>
        <v>0</v>
      </c>
      <c r="T25" s="169">
        <f t="shared" si="9"/>
        <v>0</v>
      </c>
      <c r="U25" s="169">
        <f t="shared" si="10"/>
        <v>0</v>
      </c>
      <c r="V25" s="169">
        <f t="shared" si="11"/>
        <v>120</v>
      </c>
      <c r="W25" s="86"/>
    </row>
    <row r="26" spans="2:23" s="119" customFormat="1" ht="16.899999999999999" customHeight="1" outlineLevel="1">
      <c r="B26" s="162" t="s">
        <v>189</v>
      </c>
      <c r="C26" s="498" t="s">
        <v>190</v>
      </c>
      <c r="D26" s="499"/>
      <c r="E26" s="499"/>
      <c r="F26" s="500"/>
      <c r="G26" s="163">
        <f>'Budget détaillé'!G26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12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>
        <f t="shared" si="9"/>
        <v>0</v>
      </c>
      <c r="S26" s="169">
        <f t="shared" si="9"/>
        <v>0</v>
      </c>
      <c r="T26" s="169">
        <f t="shared" si="9"/>
        <v>0</v>
      </c>
      <c r="U26" s="169">
        <f t="shared" si="10"/>
        <v>0</v>
      </c>
      <c r="V26" s="169">
        <f t="shared" si="11"/>
        <v>0</v>
      </c>
      <c r="W26" s="86"/>
    </row>
    <row r="27" spans="2:23" s="119" customFormat="1" ht="21.6" customHeight="1" outlineLevel="1" thickBot="1">
      <c r="B27" s="495" t="s">
        <v>191</v>
      </c>
      <c r="C27" s="496"/>
      <c r="D27" s="496"/>
      <c r="E27" s="496"/>
      <c r="F27" s="497"/>
      <c r="G27" s="175">
        <f>SUM(G22:G26)</f>
        <v>120</v>
      </c>
      <c r="H27" s="176">
        <f>IF(G27=0,0,I27/G27)</f>
        <v>43.48</v>
      </c>
      <c r="I27" s="176">
        <f>SUM(I22:I26)</f>
        <v>5217.5999999999995</v>
      </c>
      <c r="J27" s="176">
        <f t="shared" ref="J27:K27" si="13">SUM(J22:J26)</f>
        <v>0</v>
      </c>
      <c r="K27" s="176">
        <f t="shared" si="13"/>
        <v>5217.5999999999995</v>
      </c>
      <c r="L27" s="182">
        <f>SUM(L22:L26)</f>
        <v>0</v>
      </c>
      <c r="M27" s="183">
        <f>SUM(M22:M26)</f>
        <v>0</v>
      </c>
      <c r="N27" s="184">
        <f t="shared" ref="N27:O27" si="14">SUM(N22:N26)</f>
        <v>0</v>
      </c>
      <c r="O27" s="177">
        <f t="shared" si="14"/>
        <v>0</v>
      </c>
      <c r="P27" s="179">
        <f t="shared" ref="P27" si="15">SUM(P22:P25)</f>
        <v>0</v>
      </c>
      <c r="Q27" s="150">
        <f>IF($K$72=0,0,K27/$K$72)</f>
        <v>4.5768421052631576E-2</v>
      </c>
      <c r="R27" s="151" t="s">
        <v>169</v>
      </c>
      <c r="S27" s="71"/>
      <c r="T27" s="118"/>
    </row>
    <row r="28" spans="2:23" s="119" customFormat="1" ht="16.899999999999999" customHeight="1" outlineLevel="1">
      <c r="B28" s="185" t="s">
        <v>192</v>
      </c>
      <c r="C28" s="186" t="s">
        <v>193</v>
      </c>
      <c r="D28" s="117"/>
      <c r="E28" s="117"/>
      <c r="F28" s="187"/>
      <c r="G28" s="188"/>
      <c r="H28" s="189"/>
      <c r="I28" s="188"/>
      <c r="J28" s="188"/>
      <c r="K28" s="190"/>
      <c r="L28" s="191"/>
      <c r="M28" s="192"/>
      <c r="N28" s="192"/>
      <c r="O28" s="192"/>
      <c r="P28" s="193"/>
      <c r="Q28" s="160"/>
      <c r="R28" s="194">
        <f t="shared" ref="R28:U31" si="16">IF($I28=0,0,IF($P28=0,0,$G28*$J28/$I28*L28/$P28))</f>
        <v>0</v>
      </c>
      <c r="S28" s="194">
        <f t="shared" si="16"/>
        <v>0</v>
      </c>
      <c r="T28" s="194">
        <f t="shared" si="16"/>
        <v>0</v>
      </c>
      <c r="U28" s="195">
        <f t="shared" si="16"/>
        <v>0</v>
      </c>
      <c r="V28" s="196"/>
    </row>
    <row r="29" spans="2:23" s="119" customFormat="1" ht="16.899999999999999" customHeight="1" outlineLevel="1">
      <c r="B29" s="162" t="s">
        <v>194</v>
      </c>
      <c r="C29" s="498" t="s">
        <v>195</v>
      </c>
      <c r="D29" s="499"/>
      <c r="E29" s="499"/>
      <c r="F29" s="500"/>
      <c r="G29" s="77">
        <f>'Budget détaillé'!G29</f>
        <v>20</v>
      </c>
      <c r="H29" s="164">
        <f>+H16</f>
        <v>43.48</v>
      </c>
      <c r="I29" s="197">
        <f>H29*G29</f>
        <v>869.59999999999991</v>
      </c>
      <c r="J29" s="165">
        <f t="shared" ref="J29:J31" si="17">I29-K29</f>
        <v>0</v>
      </c>
      <c r="K29" s="166">
        <f t="shared" ref="K29:K31" si="18">IF($E$7=0,0,I29/$E$7*$E$8)</f>
        <v>869.59999999999991</v>
      </c>
      <c r="L29" s="198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>
        <f t="shared" si="16"/>
        <v>0</v>
      </c>
      <c r="S29" s="169">
        <f t="shared" si="16"/>
        <v>0</v>
      </c>
      <c r="T29" s="169">
        <f t="shared" si="16"/>
        <v>0</v>
      </c>
      <c r="U29" s="169">
        <f>IF($I29=0,0,IF($P29=0,0,$G29*$J29/$I29*O29/$P29))</f>
        <v>0</v>
      </c>
      <c r="V29" s="170">
        <f t="shared" si="11"/>
        <v>20</v>
      </c>
      <c r="W29" s="199"/>
    </row>
    <row r="30" spans="2:23" s="119" customFormat="1" ht="16.899999999999999" customHeight="1" outlineLevel="1">
      <c r="B30" s="162" t="s">
        <v>196</v>
      </c>
      <c r="C30" s="498" t="s">
        <v>197</v>
      </c>
      <c r="D30" s="499"/>
      <c r="E30" s="499"/>
      <c r="F30" s="500"/>
      <c r="G30" s="77">
        <f>'Budget détaillé'!G30</f>
        <v>0</v>
      </c>
      <c r="H30" s="164">
        <f>$H$20</f>
        <v>47.464477611940296</v>
      </c>
      <c r="I30" s="197">
        <f>H30*G30</f>
        <v>0</v>
      </c>
      <c r="J30" s="165">
        <f t="shared" si="17"/>
        <v>0</v>
      </c>
      <c r="K30" s="166">
        <f>I30</f>
        <v>0</v>
      </c>
      <c r="L30" s="198"/>
      <c r="M30" s="167"/>
      <c r="N30" s="77"/>
      <c r="O30" s="77"/>
      <c r="P30" s="172">
        <f>SUM(L30:O30)</f>
        <v>0</v>
      </c>
      <c r="Q30" s="169">
        <f t="shared" ref="Q30:Q31" si="19">IF($I30=0,0,$G30*$J30/$I30)</f>
        <v>0</v>
      </c>
      <c r="R30" s="169">
        <f t="shared" si="16"/>
        <v>0</v>
      </c>
      <c r="S30" s="169">
        <f t="shared" si="16"/>
        <v>0</v>
      </c>
      <c r="T30" s="169">
        <f t="shared" si="16"/>
        <v>0</v>
      </c>
      <c r="U30" s="169">
        <f t="shared" si="16"/>
        <v>0</v>
      </c>
      <c r="V30" s="170">
        <f t="shared" si="11"/>
        <v>0</v>
      </c>
      <c r="W30" s="199"/>
    </row>
    <row r="31" spans="2:23" s="119" customFormat="1" ht="16.899999999999999" customHeight="1" outlineLevel="1">
      <c r="B31" s="162" t="s">
        <v>198</v>
      </c>
      <c r="C31" s="406" t="s">
        <v>26</v>
      </c>
      <c r="D31" s="407"/>
      <c r="E31" s="407"/>
      <c r="F31" s="408"/>
      <c r="G31" s="77">
        <f>'Budget détaillé'!G31</f>
        <v>0</v>
      </c>
      <c r="H31" s="164">
        <f>$H$20</f>
        <v>47.464477611940296</v>
      </c>
      <c r="I31" s="201">
        <f>H31*G31</f>
        <v>0</v>
      </c>
      <c r="J31" s="165">
        <f t="shared" si="17"/>
        <v>0</v>
      </c>
      <c r="K31" s="166">
        <f t="shared" si="18"/>
        <v>0</v>
      </c>
      <c r="L31" s="202"/>
      <c r="M31" s="77"/>
      <c r="N31" s="77"/>
      <c r="O31" s="77"/>
      <c r="P31" s="172">
        <f>SUM(L31:O31)</f>
        <v>0</v>
      </c>
      <c r="Q31" s="169">
        <f t="shared" si="19"/>
        <v>0</v>
      </c>
      <c r="R31" s="169">
        <f t="shared" si="16"/>
        <v>0</v>
      </c>
      <c r="S31" s="169">
        <f t="shared" si="16"/>
        <v>0</v>
      </c>
      <c r="T31" s="169">
        <f t="shared" si="16"/>
        <v>0</v>
      </c>
      <c r="U31" s="169">
        <f t="shared" si="16"/>
        <v>0</v>
      </c>
      <c r="V31" s="170">
        <f>G31-Q31</f>
        <v>0</v>
      </c>
      <c r="W31" s="199"/>
    </row>
    <row r="32" spans="2:23" s="119" customFormat="1" ht="21" customHeight="1" outlineLevel="1" thickBot="1">
      <c r="B32" s="510" t="s">
        <v>199</v>
      </c>
      <c r="C32" s="511"/>
      <c r="D32" s="511"/>
      <c r="E32" s="511"/>
      <c r="F32" s="512"/>
      <c r="G32" s="203">
        <f>SUM(G29:G31)</f>
        <v>20</v>
      </c>
      <c r="H32" s="204">
        <f>IF(G32=0,0,I32/G32)</f>
        <v>43.48</v>
      </c>
      <c r="I32" s="204">
        <f>SUM(I29:I31)</f>
        <v>869.59999999999991</v>
      </c>
      <c r="J32" s="204">
        <f>SUM(J29:J31)</f>
        <v>0</v>
      </c>
      <c r="K32" s="205">
        <f>SUM(K29:K31)</f>
        <v>869.59999999999991</v>
      </c>
      <c r="L32" s="180">
        <f t="shared" ref="L32:M32" si="20">SUM(L29:L31)</f>
        <v>0</v>
      </c>
      <c r="M32" s="177">
        <f t="shared" si="20"/>
        <v>0</v>
      </c>
      <c r="N32" s="177">
        <f>SUM(N29:N31)</f>
        <v>0</v>
      </c>
      <c r="O32" s="177">
        <f>SUM(O29:O31)</f>
        <v>0</v>
      </c>
      <c r="P32" s="179">
        <f t="shared" ref="P32" si="21">SUM(P28:P31)</f>
        <v>0</v>
      </c>
      <c r="Q32" s="150">
        <f>IF($K$72=0,0,K32/$K$72)</f>
        <v>7.6280701754385958E-3</v>
      </c>
      <c r="R32" s="151" t="s">
        <v>169</v>
      </c>
      <c r="S32" s="71"/>
      <c r="T32" s="118"/>
      <c r="U32" s="68"/>
    </row>
    <row r="33" spans="2:22" s="119" customFormat="1" ht="21" customHeight="1" outlineLevel="1">
      <c r="B33" s="206"/>
      <c r="C33" s="207"/>
      <c r="D33" s="208"/>
      <c r="E33" s="209"/>
      <c r="F33" s="209"/>
      <c r="G33" s="209"/>
      <c r="H33" s="210" t="s">
        <v>200</v>
      </c>
      <c r="I33" s="211">
        <f>K33+J33</f>
        <v>441.5</v>
      </c>
      <c r="J33" s="211">
        <f>SUM(Q16:Q19)+SUM(Q22:Q26)+SUM(Q29:Q31)</f>
        <v>0</v>
      </c>
      <c r="K33" s="212">
        <f>SUM(V16:V19)+SUM(V22:V26)+SUM(V29:V31)</f>
        <v>441.5</v>
      </c>
      <c r="L33" s="213"/>
      <c r="M33" s="213"/>
      <c r="N33" s="213"/>
      <c r="O33" s="213"/>
      <c r="P33" s="213"/>
      <c r="Q33" s="214"/>
      <c r="R33" s="214"/>
      <c r="S33" s="215"/>
      <c r="T33" s="216"/>
      <c r="U33" s="118"/>
      <c r="V33" s="217"/>
    </row>
    <row r="34" spans="2:22" s="119" customFormat="1" ht="21" customHeight="1" outlineLevel="1" thickBot="1">
      <c r="B34" s="218"/>
      <c r="C34" s="219"/>
      <c r="D34" s="220"/>
      <c r="E34" s="221"/>
      <c r="F34" s="221"/>
      <c r="G34" s="221"/>
      <c r="H34" s="222" t="s">
        <v>201</v>
      </c>
      <c r="I34" s="223">
        <f>IF($E$7=0,0,(I32+I20+I27)/$E$7)</f>
        <v>1359.8493333333331</v>
      </c>
      <c r="J34" s="224">
        <f>IF($E$7-$E$8=0,0,(J32+J20+J27)/($E$7-$E$8))</f>
        <v>0</v>
      </c>
      <c r="K34" s="225">
        <f>IF($E$8=0,0,(K32+K20+K27)/$E$8)</f>
        <v>1359.8493333333331</v>
      </c>
      <c r="L34" s="213"/>
      <c r="M34" s="213"/>
      <c r="N34" s="213"/>
      <c r="O34" s="213"/>
      <c r="P34" s="213"/>
      <c r="Q34" s="214"/>
      <c r="R34" s="214"/>
      <c r="S34" s="215"/>
      <c r="T34" s="216"/>
      <c r="U34" s="118"/>
      <c r="V34" s="217"/>
    </row>
    <row r="35" spans="2:22" s="71" customFormat="1" ht="22.15" customHeight="1" thickBot="1">
      <c r="B35" s="226" t="s">
        <v>202</v>
      </c>
      <c r="C35" s="227"/>
      <c r="D35" s="228"/>
      <c r="E35" s="228"/>
      <c r="F35" s="228"/>
      <c r="G35" s="228"/>
      <c r="H35" s="229"/>
      <c r="I35" s="230">
        <f t="shared" ref="I35:P35" si="22">SUM(I36:I44)</f>
        <v>1100</v>
      </c>
      <c r="J35" s="231">
        <f t="shared" si="22"/>
        <v>0</v>
      </c>
      <c r="K35" s="232">
        <f t="shared" si="22"/>
        <v>1100</v>
      </c>
      <c r="L35" s="149">
        <f t="shared" si="22"/>
        <v>0</v>
      </c>
      <c r="M35" s="145">
        <f t="shared" si="22"/>
        <v>0</v>
      </c>
      <c r="N35" s="146">
        <f t="shared" si="22"/>
        <v>0</v>
      </c>
      <c r="O35" s="145">
        <f t="shared" si="22"/>
        <v>0</v>
      </c>
      <c r="P35" s="233">
        <f t="shared" si="22"/>
        <v>0</v>
      </c>
      <c r="Q35" s="150">
        <f>IF($K$72=0,0,K35/$K$72)</f>
        <v>9.6491228070175444E-3</v>
      </c>
      <c r="R35" s="151" t="s">
        <v>169</v>
      </c>
      <c r="U35" s="119"/>
      <c r="V35" s="119"/>
    </row>
    <row r="36" spans="2:22" s="119" customFormat="1" ht="16.899999999999999" customHeight="1" outlineLevel="1">
      <c r="B36" s="234" t="s">
        <v>203</v>
      </c>
      <c r="C36" s="235" t="s">
        <v>204</v>
      </c>
      <c r="D36" s="236"/>
      <c r="E36" s="236"/>
      <c r="F36" s="236"/>
      <c r="G36" s="236"/>
      <c r="H36" s="236"/>
      <c r="I36" s="237">
        <f>'Budget détaillé'!I36</f>
        <v>100</v>
      </c>
      <c r="J36" s="238">
        <f>'Budget détaillé'!J36</f>
        <v>0</v>
      </c>
      <c r="K36" s="239">
        <f>'Budget détaillé'!K36</f>
        <v>100</v>
      </c>
      <c r="L36" s="240"/>
      <c r="M36" s="241"/>
      <c r="N36" s="242"/>
      <c r="O36" s="241"/>
      <c r="P36" s="243">
        <f>SUM(L36:O36)</f>
        <v>0</v>
      </c>
      <c r="Q36" s="244"/>
      <c r="R36" s="245"/>
      <c r="S36" s="71"/>
    </row>
    <row r="37" spans="2:22" s="119" customFormat="1" ht="16.899999999999999" customHeight="1" outlineLevel="1">
      <c r="B37" s="95" t="s">
        <v>205</v>
      </c>
      <c r="C37" s="246" t="s">
        <v>206</v>
      </c>
      <c r="D37" s="247"/>
      <c r="E37" s="247"/>
      <c r="F37" s="247"/>
      <c r="G37" s="247"/>
      <c r="H37" s="247"/>
      <c r="I37" s="248">
        <f>'Budget détaillé'!I37</f>
        <v>0</v>
      </c>
      <c r="J37" s="164">
        <f>'Budget détaillé'!J37</f>
        <v>0</v>
      </c>
      <c r="K37" s="249">
        <f>'Budget détaillé'!K37</f>
        <v>0</v>
      </c>
      <c r="L37" s="198"/>
      <c r="M37" s="167"/>
      <c r="N37" s="250"/>
      <c r="O37" s="167"/>
      <c r="P37" s="172">
        <f>SUM(L37:O37)</f>
        <v>0</v>
      </c>
      <c r="Q37" s="244"/>
      <c r="R37" s="245"/>
      <c r="S37" s="71"/>
    </row>
    <row r="38" spans="2:22" s="119" customFormat="1" ht="16.899999999999999" customHeight="1" outlineLevel="1">
      <c r="B38" s="95" t="s">
        <v>207</v>
      </c>
      <c r="C38" s="246" t="s">
        <v>208</v>
      </c>
      <c r="D38" s="247"/>
      <c r="E38" s="247"/>
      <c r="F38" s="247"/>
      <c r="G38" s="247"/>
      <c r="H38" s="247"/>
      <c r="I38" s="248">
        <f>'Budget détaillé'!I38</f>
        <v>500</v>
      </c>
      <c r="J38" s="164">
        <f>'Budget détaillé'!J38</f>
        <v>0</v>
      </c>
      <c r="K38" s="249">
        <f>'Budget détaillé'!K38</f>
        <v>500.00000000000006</v>
      </c>
      <c r="L38" s="198"/>
      <c r="M38" s="167"/>
      <c r="N38" s="250"/>
      <c r="O38" s="167"/>
      <c r="P38" s="172">
        <f t="shared" ref="P38:P44" si="23">SUM(L38:O38)</f>
        <v>0</v>
      </c>
      <c r="Q38" s="244"/>
      <c r="R38" s="245"/>
      <c r="S38" s="71"/>
    </row>
    <row r="39" spans="2:22" s="119" customFormat="1" ht="16.899999999999999" customHeight="1" outlineLevel="1">
      <c r="B39" s="95" t="s">
        <v>209</v>
      </c>
      <c r="C39" s="246" t="s">
        <v>210</v>
      </c>
      <c r="D39" s="247"/>
      <c r="E39" s="247"/>
      <c r="F39" s="247"/>
      <c r="G39" s="247"/>
      <c r="H39" s="247"/>
      <c r="I39" s="248">
        <f>'Budget détaillé'!I39</f>
        <v>0</v>
      </c>
      <c r="J39" s="164">
        <f>'Budget détaillé'!J39</f>
        <v>0</v>
      </c>
      <c r="K39" s="249">
        <f>'Budget détaillé'!K39</f>
        <v>0</v>
      </c>
      <c r="L39" s="198"/>
      <c r="M39" s="167"/>
      <c r="N39" s="250"/>
      <c r="O39" s="167"/>
      <c r="P39" s="172">
        <f t="shared" si="23"/>
        <v>0</v>
      </c>
      <c r="Q39" s="244"/>
      <c r="R39" s="245"/>
      <c r="S39" s="71"/>
    </row>
    <row r="40" spans="2:22" s="119" customFormat="1" ht="16.899999999999999" customHeight="1" outlineLevel="1">
      <c r="B40" s="95" t="s">
        <v>211</v>
      </c>
      <c r="C40" s="246" t="s">
        <v>212</v>
      </c>
      <c r="D40" s="247"/>
      <c r="E40" s="247"/>
      <c r="F40" s="247"/>
      <c r="G40" s="247"/>
      <c r="H40" s="247"/>
      <c r="I40" s="248">
        <f>'Budget détaillé'!I40</f>
        <v>0</v>
      </c>
      <c r="J40" s="164">
        <f>'Budget détaillé'!J40</f>
        <v>0</v>
      </c>
      <c r="K40" s="249">
        <f>'Budget détaillé'!K40</f>
        <v>0</v>
      </c>
      <c r="L40" s="198"/>
      <c r="M40" s="167"/>
      <c r="N40" s="250"/>
      <c r="O40" s="167"/>
      <c r="P40" s="172">
        <f>SUM(L40:O40)</f>
        <v>0</v>
      </c>
      <c r="Q40" s="244"/>
      <c r="R40" s="245"/>
      <c r="S40" s="71"/>
    </row>
    <row r="41" spans="2:22" s="119" customFormat="1" ht="16.899999999999999" customHeight="1" outlineLevel="1">
      <c r="B41" s="95" t="s">
        <v>213</v>
      </c>
      <c r="C41" s="246" t="s">
        <v>214</v>
      </c>
      <c r="D41" s="247"/>
      <c r="E41" s="247"/>
      <c r="F41" s="247"/>
      <c r="G41" s="247"/>
      <c r="H41" s="247"/>
      <c r="I41" s="248">
        <f>'Budget détaillé'!I41</f>
        <v>0</v>
      </c>
      <c r="J41" s="164">
        <f>'Budget détaillé'!J41</f>
        <v>0</v>
      </c>
      <c r="K41" s="249">
        <f>'Budget détaillé'!K41</f>
        <v>0</v>
      </c>
      <c r="L41" s="198"/>
      <c r="M41" s="167"/>
      <c r="N41" s="250"/>
      <c r="O41" s="167"/>
      <c r="P41" s="172">
        <f>SUM(L41:O41)</f>
        <v>0</v>
      </c>
      <c r="Q41" s="244"/>
      <c r="R41" s="245"/>
      <c r="S41" s="71"/>
    </row>
    <row r="42" spans="2:22" s="119" customFormat="1" ht="16.899999999999999" customHeight="1" outlineLevel="1">
      <c r="B42" s="95" t="s">
        <v>215</v>
      </c>
      <c r="C42" s="246" t="s">
        <v>318</v>
      </c>
      <c r="D42" s="247"/>
      <c r="E42" s="247"/>
      <c r="F42" s="247"/>
      <c r="G42" s="247"/>
      <c r="H42" s="247"/>
      <c r="I42" s="248">
        <f>'Budget détaillé'!I42</f>
        <v>500</v>
      </c>
      <c r="J42" s="164">
        <f>'Budget détaillé'!J42</f>
        <v>0</v>
      </c>
      <c r="K42" s="249">
        <f>'Budget détaillé'!K42</f>
        <v>500</v>
      </c>
      <c r="L42" s="198"/>
      <c r="M42" s="167"/>
      <c r="N42" s="250"/>
      <c r="O42" s="167"/>
      <c r="P42" s="172">
        <f t="shared" si="23"/>
        <v>0</v>
      </c>
      <c r="Q42" s="244"/>
      <c r="R42" s="245"/>
      <c r="S42" s="71"/>
    </row>
    <row r="43" spans="2:22" s="119" customFormat="1" ht="16.899999999999999" customHeight="1" outlineLevel="1">
      <c r="B43" s="95" t="s">
        <v>217</v>
      </c>
      <c r="C43" s="246" t="s">
        <v>218</v>
      </c>
      <c r="D43" s="247"/>
      <c r="E43" s="247"/>
      <c r="F43" s="247"/>
      <c r="G43" s="247"/>
      <c r="H43" s="247"/>
      <c r="I43" s="248">
        <f>'Budget détaillé'!I43</f>
        <v>0</v>
      </c>
      <c r="J43" s="164">
        <f>'Budget détaillé'!J43</f>
        <v>0</v>
      </c>
      <c r="K43" s="249">
        <f>'Budget détaillé'!K43</f>
        <v>0</v>
      </c>
      <c r="L43" s="198"/>
      <c r="M43" s="167"/>
      <c r="N43" s="250"/>
      <c r="O43" s="167"/>
      <c r="P43" s="172">
        <f t="shared" si="23"/>
        <v>0</v>
      </c>
      <c r="Q43" s="244"/>
      <c r="R43" s="245"/>
      <c r="S43" s="71"/>
    </row>
    <row r="44" spans="2:22" s="119" customFormat="1" ht="16.899999999999999" customHeight="1" outlineLevel="1" thickBot="1">
      <c r="B44" s="251" t="s">
        <v>219</v>
      </c>
      <c r="C44" s="252" t="s">
        <v>220</v>
      </c>
      <c r="D44" s="253"/>
      <c r="E44" s="253"/>
      <c r="F44" s="253"/>
      <c r="G44" s="253"/>
      <c r="H44" s="254"/>
      <c r="I44" s="255">
        <f>'Budget détaillé'!I44</f>
        <v>0</v>
      </c>
      <c r="J44" s="256">
        <f>'Budget détaillé'!J44</f>
        <v>0</v>
      </c>
      <c r="K44" s="257">
        <f>'Budget détaillé'!K44</f>
        <v>0</v>
      </c>
      <c r="L44" s="258"/>
      <c r="M44" s="259"/>
      <c r="N44" s="260"/>
      <c r="O44" s="259"/>
      <c r="P44" s="261">
        <f t="shared" si="23"/>
        <v>0</v>
      </c>
      <c r="Q44" s="244"/>
      <c r="R44" s="245"/>
      <c r="S44" s="71"/>
    </row>
    <row r="45" spans="2:22" s="119" customFormat="1" ht="24.6" customHeight="1" outlineLevel="1" thickBot="1">
      <c r="B45" s="262"/>
      <c r="C45" s="263"/>
      <c r="E45" s="264"/>
      <c r="F45" s="264"/>
      <c r="G45" s="264"/>
      <c r="H45" s="72" t="s">
        <v>221</v>
      </c>
      <c r="I45" s="265">
        <f>IF(E7=0,0,I35/$E$7)</f>
        <v>73.333333333333329</v>
      </c>
      <c r="J45" s="265">
        <f>IF(E7-E8=0,0,J35/($E$7-$E$8))</f>
        <v>0</v>
      </c>
      <c r="K45" s="225">
        <f>IF($E$8=0,0,K35/$E$8)</f>
        <v>73.333333333333329</v>
      </c>
      <c r="L45" s="213"/>
      <c r="M45" s="213"/>
      <c r="N45" s="213"/>
      <c r="O45" s="213"/>
      <c r="P45" s="213"/>
      <c r="Q45" s="244"/>
      <c r="R45" s="245"/>
      <c r="S45" s="71"/>
      <c r="U45" s="71"/>
      <c r="V45" s="71"/>
    </row>
    <row r="46" spans="2:22" s="71" customFormat="1" ht="21.6" customHeight="1" thickBot="1">
      <c r="B46" s="141" t="s">
        <v>222</v>
      </c>
      <c r="C46" s="142"/>
      <c r="D46" s="143"/>
      <c r="E46" s="143"/>
      <c r="F46" s="143"/>
      <c r="G46" s="143"/>
      <c r="H46" s="266"/>
      <c r="I46" s="267">
        <f t="shared" ref="I46:P46" si="24">I35+I32+I20+I27</f>
        <v>21497.739999999998</v>
      </c>
      <c r="J46" s="267">
        <f t="shared" si="24"/>
        <v>0</v>
      </c>
      <c r="K46" s="268">
        <f t="shared" si="24"/>
        <v>21497.739999999998</v>
      </c>
      <c r="L46" s="267">
        <f t="shared" si="24"/>
        <v>0</v>
      </c>
      <c r="M46" s="267">
        <f t="shared" si="24"/>
        <v>0</v>
      </c>
      <c r="N46" s="267">
        <f t="shared" si="24"/>
        <v>0</v>
      </c>
      <c r="O46" s="267">
        <f t="shared" si="24"/>
        <v>0</v>
      </c>
      <c r="P46" s="269">
        <f t="shared" si="24"/>
        <v>0</v>
      </c>
      <c r="Q46" s="270">
        <f>IF($K$72=0,0,K46/$K$72)</f>
        <v>0.18857666666666664</v>
      </c>
      <c r="R46" s="151" t="s">
        <v>169</v>
      </c>
      <c r="S46" s="271"/>
      <c r="U46" s="68"/>
      <c r="V46" s="119"/>
    </row>
    <row r="47" spans="2:22" s="119" customFormat="1" ht="21" customHeight="1" thickBot="1">
      <c r="B47" s="272"/>
      <c r="C47" s="273"/>
      <c r="D47" s="273"/>
      <c r="E47" s="274"/>
      <c r="F47" s="274"/>
      <c r="G47" s="274"/>
      <c r="H47" s="275" t="s">
        <v>223</v>
      </c>
      <c r="I47" s="223">
        <f>IF(E7=0,0,I46/E7)</f>
        <v>1433.1826666666666</v>
      </c>
      <c r="J47" s="265">
        <f>IF((E7-E8)=0,0,J46/(E7-E8))</f>
        <v>0</v>
      </c>
      <c r="K47" s="276">
        <f>IF(E8=0,0,K46/E8)</f>
        <v>1433.1826666666666</v>
      </c>
      <c r="L47" s="213"/>
      <c r="M47" s="213"/>
      <c r="N47" s="213"/>
      <c r="O47" s="213"/>
      <c r="P47" s="213"/>
      <c r="Q47" s="277"/>
      <c r="R47" s="245"/>
      <c r="S47" s="71"/>
      <c r="T47" s="118"/>
      <c r="U47" s="68"/>
    </row>
    <row r="48" spans="2:22" s="119" customFormat="1" ht="12" customHeight="1" thickBot="1">
      <c r="B48" s="262"/>
      <c r="E48" s="264"/>
      <c r="F48" s="264"/>
      <c r="G48" s="264"/>
      <c r="H48" s="72"/>
      <c r="I48" s="223"/>
      <c r="J48" s="223"/>
      <c r="K48" s="278"/>
      <c r="L48" s="213"/>
      <c r="M48" s="213"/>
      <c r="N48" s="213"/>
      <c r="O48" s="213"/>
      <c r="P48" s="213"/>
      <c r="Q48" s="277"/>
      <c r="R48" s="245"/>
      <c r="S48" s="71"/>
      <c r="T48" s="118"/>
      <c r="U48" s="67"/>
      <c r="V48" s="67"/>
    </row>
    <row r="49" spans="1:22" s="67" customFormat="1" ht="51.75" thickBot="1">
      <c r="B49" s="279" t="s">
        <v>224</v>
      </c>
      <c r="C49" s="280" t="s">
        <v>225</v>
      </c>
      <c r="D49" s="281"/>
      <c r="E49" s="281"/>
      <c r="F49" s="281"/>
      <c r="G49" s="281"/>
      <c r="H49" s="133" t="s">
        <v>226</v>
      </c>
      <c r="I49" s="132" t="s">
        <v>161</v>
      </c>
      <c r="J49" s="133" t="s">
        <v>162</v>
      </c>
      <c r="K49" s="134" t="s">
        <v>227</v>
      </c>
      <c r="L49" s="282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3"/>
      <c r="R49" s="140"/>
      <c r="U49" s="71"/>
      <c r="V49" s="71"/>
    </row>
    <row r="50" spans="1:22" s="71" customFormat="1" ht="19.899999999999999" customHeight="1" thickBot="1">
      <c r="B50" s="141" t="s">
        <v>228</v>
      </c>
      <c r="C50" s="142"/>
      <c r="D50" s="143"/>
      <c r="E50" s="143"/>
      <c r="F50" s="143"/>
      <c r="G50" s="143"/>
      <c r="H50" s="266"/>
      <c r="I50" s="146">
        <f>SUM(I51:I54)</f>
        <v>17940</v>
      </c>
      <c r="J50" s="147">
        <f>SUM(J51:J54)</f>
        <v>0</v>
      </c>
      <c r="K50" s="148">
        <f>SUM(K51:K54)</f>
        <v>17940</v>
      </c>
      <c r="L50" s="146">
        <f t="shared" ref="L50:P50" si="25">SUM(L51:L54)</f>
        <v>0</v>
      </c>
      <c r="M50" s="145">
        <f t="shared" si="25"/>
        <v>0</v>
      </c>
      <c r="N50" s="145">
        <f t="shared" si="25"/>
        <v>0</v>
      </c>
      <c r="O50" s="146">
        <f t="shared" si="25"/>
        <v>0</v>
      </c>
      <c r="P50" s="148">
        <f t="shared" si="25"/>
        <v>0</v>
      </c>
      <c r="Q50" s="181"/>
      <c r="R50" s="284"/>
    </row>
    <row r="51" spans="1:22" s="71" customFormat="1" ht="16.899999999999999" customHeight="1" outlineLevel="2">
      <c r="B51" s="285" t="s">
        <v>229</v>
      </c>
      <c r="C51" s="286" t="s">
        <v>230</v>
      </c>
      <c r="D51" s="287"/>
      <c r="E51" s="287"/>
      <c r="F51" s="287"/>
      <c r="G51" s="288"/>
      <c r="H51" s="164">
        <f>'Budget détaillé'!H51</f>
        <v>312</v>
      </c>
      <c r="I51" s="164">
        <f>'Budget détaillé'!I51</f>
        <v>4680</v>
      </c>
      <c r="J51" s="165">
        <f>'Budget détaillé'!J51</f>
        <v>0</v>
      </c>
      <c r="K51" s="166">
        <f>'Budget détaillé'!K51</f>
        <v>4680</v>
      </c>
      <c r="L51" s="289"/>
      <c r="M51" s="290"/>
      <c r="N51" s="290"/>
      <c r="O51" s="291"/>
      <c r="P51" s="168">
        <f>SUM(L51:O51)</f>
        <v>0</v>
      </c>
      <c r="Q51" s="181"/>
      <c r="R51" s="245"/>
      <c r="U51" s="119"/>
      <c r="V51" s="119"/>
    </row>
    <row r="52" spans="1:22" s="119" customFormat="1" ht="18.75" customHeight="1" outlineLevel="2">
      <c r="B52" s="285" t="s">
        <v>231</v>
      </c>
      <c r="C52" s="292" t="s">
        <v>232</v>
      </c>
      <c r="D52" s="293"/>
      <c r="E52" s="293"/>
      <c r="F52" s="293"/>
      <c r="G52" s="294"/>
      <c r="H52" s="164">
        <f>'Budget détaillé'!H52</f>
        <v>708</v>
      </c>
      <c r="I52" s="164">
        <f>'Budget détaillé'!I52</f>
        <v>10620</v>
      </c>
      <c r="J52" s="165">
        <f>'Budget détaillé'!J52</f>
        <v>0</v>
      </c>
      <c r="K52" s="166">
        <f>'Budget détaillé'!K52</f>
        <v>10620</v>
      </c>
      <c r="L52" s="289"/>
      <c r="M52" s="290"/>
      <c r="N52" s="290"/>
      <c r="O52" s="77"/>
      <c r="P52" s="172">
        <f>SUM(L52:O52)</f>
        <v>0</v>
      </c>
      <c r="Q52" s="123"/>
      <c r="R52" s="245"/>
      <c r="S52" s="71"/>
    </row>
    <row r="53" spans="1:22" s="119" customFormat="1" ht="18.75" customHeight="1" outlineLevel="2">
      <c r="B53" s="285" t="s">
        <v>233</v>
      </c>
      <c r="C53" s="113" t="s">
        <v>234</v>
      </c>
      <c r="D53" s="295"/>
      <c r="E53" s="295"/>
      <c r="F53" s="295"/>
      <c r="G53" s="295"/>
      <c r="H53" s="164">
        <f>'Budget détaillé'!H53</f>
        <v>90</v>
      </c>
      <c r="I53" s="164">
        <f>'Budget détaillé'!I53</f>
        <v>1350</v>
      </c>
      <c r="J53" s="165">
        <f>'Budget détaillé'!J53</f>
        <v>0</v>
      </c>
      <c r="K53" s="166">
        <f>'Budget détaillé'!K53</f>
        <v>1350</v>
      </c>
      <c r="L53" s="289"/>
      <c r="M53" s="290"/>
      <c r="N53" s="290"/>
      <c r="O53" s="77"/>
      <c r="P53" s="172">
        <f>SUM(L53:O53)</f>
        <v>0</v>
      </c>
      <c r="Q53" s="123"/>
      <c r="R53" s="245"/>
      <c r="S53" s="71"/>
    </row>
    <row r="54" spans="1:22" s="119" customFormat="1" ht="18.75" customHeight="1" outlineLevel="2" thickBot="1">
      <c r="B54" s="285" t="s">
        <v>235</v>
      </c>
      <c r="C54" s="113" t="s">
        <v>236</v>
      </c>
      <c r="D54" s="295"/>
      <c r="E54" s="295"/>
      <c r="F54" s="295"/>
      <c r="G54" s="295"/>
      <c r="H54" s="164">
        <f>'Budget détaillé'!H54</f>
        <v>86</v>
      </c>
      <c r="I54" s="164">
        <f>'Budget détaillé'!I54</f>
        <v>1290</v>
      </c>
      <c r="J54" s="165">
        <f>'Budget détaillé'!J54</f>
        <v>0</v>
      </c>
      <c r="K54" s="166">
        <f>'Budget détaillé'!K54</f>
        <v>1290</v>
      </c>
      <c r="L54" s="289"/>
      <c r="M54" s="290"/>
      <c r="N54" s="290"/>
      <c r="O54" s="77"/>
      <c r="P54" s="172">
        <f>SUM(L54:O54)</f>
        <v>0</v>
      </c>
      <c r="Q54" s="123"/>
      <c r="R54" s="245"/>
      <c r="S54" s="71"/>
      <c r="U54" s="71"/>
      <c r="V54" s="71"/>
    </row>
    <row r="55" spans="1:22" s="71" customFormat="1" ht="19.149999999999999" customHeight="1" thickBot="1">
      <c r="B55" s="141" t="s">
        <v>237</v>
      </c>
      <c r="C55" s="142"/>
      <c r="D55" s="143"/>
      <c r="E55" s="143"/>
      <c r="F55" s="143"/>
      <c r="G55" s="143"/>
      <c r="H55" s="266"/>
      <c r="I55" s="146">
        <f>SUM(I56:I58)</f>
        <v>14460</v>
      </c>
      <c r="J55" s="147">
        <f>SUM(J56:J58)</f>
        <v>0</v>
      </c>
      <c r="K55" s="148">
        <f>SUM(K56:K58)</f>
        <v>14460</v>
      </c>
      <c r="L55" s="146">
        <f t="shared" ref="L55:P55" si="26">SUM(L56:L58)</f>
        <v>0</v>
      </c>
      <c r="M55" s="145">
        <f t="shared" si="26"/>
        <v>0</v>
      </c>
      <c r="N55" s="145">
        <f t="shared" si="26"/>
        <v>0</v>
      </c>
      <c r="O55" s="146">
        <f t="shared" si="26"/>
        <v>0</v>
      </c>
      <c r="P55" s="148">
        <f t="shared" si="26"/>
        <v>0</v>
      </c>
      <c r="Q55" s="296"/>
      <c r="R55" s="245"/>
    </row>
    <row r="56" spans="1:22" s="71" customFormat="1" ht="16.899999999999999" customHeight="1" outlineLevel="1">
      <c r="B56" s="95" t="s">
        <v>238</v>
      </c>
      <c r="C56" s="246" t="s">
        <v>239</v>
      </c>
      <c r="D56" s="247"/>
      <c r="E56" s="247"/>
      <c r="F56" s="247"/>
      <c r="G56" s="247"/>
      <c r="H56" s="164">
        <f>'Budget détaillé'!H56</f>
        <v>222</v>
      </c>
      <c r="I56" s="164">
        <f>'Budget détaillé'!I56</f>
        <v>3330</v>
      </c>
      <c r="J56" s="165">
        <f>'Budget détaillé'!J56</f>
        <v>0</v>
      </c>
      <c r="K56" s="166">
        <f>'Budget détaillé'!K56</f>
        <v>3330</v>
      </c>
      <c r="L56" s="289"/>
      <c r="M56" s="290"/>
      <c r="N56" s="290"/>
      <c r="O56" s="77"/>
      <c r="P56" s="172">
        <f>SUM(L56:O56)</f>
        <v>0</v>
      </c>
      <c r="Q56" s="123"/>
      <c r="R56" s="297"/>
    </row>
    <row r="57" spans="1:22" s="71" customFormat="1" ht="16.899999999999999" customHeight="1" outlineLevel="1">
      <c r="B57" s="95" t="s">
        <v>240</v>
      </c>
      <c r="C57" s="246" t="s">
        <v>241</v>
      </c>
      <c r="D57" s="247"/>
      <c r="E57" s="247"/>
      <c r="F57" s="247"/>
      <c r="G57" s="247"/>
      <c r="H57" s="164">
        <f>'Budget détaillé'!H57</f>
        <v>550</v>
      </c>
      <c r="I57" s="164">
        <f>'Budget détaillé'!I57</f>
        <v>8250</v>
      </c>
      <c r="J57" s="165">
        <f>'Budget détaillé'!J57</f>
        <v>0</v>
      </c>
      <c r="K57" s="166">
        <f>'Budget détaillé'!K57</f>
        <v>8250</v>
      </c>
      <c r="L57" s="289"/>
      <c r="M57" s="290"/>
      <c r="N57" s="290"/>
      <c r="O57" s="77"/>
      <c r="P57" s="172">
        <f>SUM(L57:O57)</f>
        <v>0</v>
      </c>
      <c r="Q57" s="123"/>
      <c r="R57" s="245"/>
    </row>
    <row r="58" spans="1:22" s="71" customFormat="1" ht="16.899999999999999" customHeight="1" outlineLevel="1" thickBot="1">
      <c r="B58" s="95" t="s">
        <v>242</v>
      </c>
      <c r="C58" s="246" t="s">
        <v>243</v>
      </c>
      <c r="D58" s="247"/>
      <c r="E58" s="247"/>
      <c r="F58" s="247"/>
      <c r="G58" s="247"/>
      <c r="H58" s="164">
        <f>'Budget détaillé'!H58</f>
        <v>192</v>
      </c>
      <c r="I58" s="164">
        <f>'Budget détaillé'!I58</f>
        <v>2880</v>
      </c>
      <c r="J58" s="165">
        <f>'Budget détaillé'!J58</f>
        <v>0</v>
      </c>
      <c r="K58" s="166">
        <f>'Budget détaillé'!K58</f>
        <v>2880</v>
      </c>
      <c r="L58" s="289"/>
      <c r="M58" s="290"/>
      <c r="N58" s="290"/>
      <c r="O58" s="77"/>
      <c r="P58" s="172">
        <f>SUM(L58:O58)</f>
        <v>0</v>
      </c>
      <c r="Q58" s="123"/>
      <c r="R58" s="245"/>
    </row>
    <row r="59" spans="1:22" s="71" customFormat="1" ht="21.6" customHeight="1" thickBot="1">
      <c r="B59" s="141" t="s">
        <v>244</v>
      </c>
      <c r="C59" s="142"/>
      <c r="D59" s="143"/>
      <c r="E59" s="143"/>
      <c r="F59" s="143"/>
      <c r="G59" s="143"/>
      <c r="H59" s="266"/>
      <c r="I59" s="146">
        <f>I50+I55</f>
        <v>32400</v>
      </c>
      <c r="J59" s="147">
        <f>J50+J55</f>
        <v>0</v>
      </c>
      <c r="K59" s="148">
        <f>K50+K55</f>
        <v>32400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0.28421052631578947</v>
      </c>
      <c r="R59" s="298" t="s">
        <v>169</v>
      </c>
      <c r="S59" s="299">
        <f>IF((K59+K46)=0,0,K59/(K59+K46))</f>
        <v>0.60113837797280556</v>
      </c>
      <c r="T59" s="151" t="s">
        <v>245</v>
      </c>
      <c r="U59" s="68"/>
    </row>
    <row r="60" spans="1:22" ht="21" customHeight="1" thickBot="1">
      <c r="A60" s="71"/>
      <c r="B60" s="272"/>
      <c r="C60" s="300"/>
      <c r="D60" s="300"/>
      <c r="E60" s="274"/>
      <c r="F60" s="274"/>
      <c r="G60" s="274"/>
      <c r="H60" s="72" t="s">
        <v>246</v>
      </c>
      <c r="I60" s="265">
        <f>IF(E7=0,0,I59/E7)</f>
        <v>2160</v>
      </c>
      <c r="J60" s="265">
        <f>IF((E7-E8)=0,0,J59/(E7-E8))</f>
        <v>0</v>
      </c>
      <c r="K60" s="276">
        <f>IF(E8=0,0,K59/E8)</f>
        <v>2160</v>
      </c>
      <c r="L60" s="213"/>
      <c r="M60" s="213"/>
      <c r="N60" s="213"/>
      <c r="O60" s="213"/>
      <c r="P60" s="213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1"/>
      <c r="C61" s="302"/>
      <c r="D61" s="302"/>
      <c r="E61" s="302"/>
      <c r="F61" s="302"/>
      <c r="G61" s="302"/>
      <c r="H61" s="302"/>
      <c r="I61" s="303"/>
      <c r="J61" s="303"/>
      <c r="K61" s="304"/>
      <c r="L61" s="305"/>
      <c r="M61" s="305"/>
      <c r="N61" s="305"/>
      <c r="O61" s="305"/>
      <c r="P61" s="305"/>
      <c r="Q61" s="306"/>
      <c r="R61" s="67"/>
    </row>
    <row r="62" spans="1:22" s="71" customFormat="1" ht="24.6" customHeight="1" thickBot="1">
      <c r="B62" s="307" t="s">
        <v>247</v>
      </c>
      <c r="C62" s="307"/>
      <c r="D62" s="308"/>
      <c r="E62" s="309"/>
      <c r="F62" s="308"/>
      <c r="G62" s="310"/>
      <c r="H62" s="311"/>
      <c r="I62" s="312">
        <f>I59+I46</f>
        <v>53897.74</v>
      </c>
      <c r="J62" s="312">
        <f>J59+J46</f>
        <v>0</v>
      </c>
      <c r="K62" s="313">
        <f>K59+K46</f>
        <v>53897.74</v>
      </c>
      <c r="L62" s="312">
        <f t="shared" ref="L62:O62" si="28">L59+L46</f>
        <v>0</v>
      </c>
      <c r="M62" s="312">
        <f t="shared" si="28"/>
        <v>0</v>
      </c>
      <c r="N62" s="312">
        <f t="shared" si="28"/>
        <v>0</v>
      </c>
      <c r="O62" s="312">
        <f t="shared" si="28"/>
        <v>0</v>
      </c>
      <c r="P62" s="313">
        <f>P59+P46</f>
        <v>0</v>
      </c>
      <c r="Q62" s="150">
        <f>IF($K$72=0,0,K62/$K$72)</f>
        <v>0.47278719298245614</v>
      </c>
      <c r="R62" s="151" t="s">
        <v>169</v>
      </c>
      <c r="U62" s="119"/>
      <c r="V62" s="119"/>
    </row>
    <row r="63" spans="1:22" s="119" customFormat="1" ht="18.75" customHeight="1">
      <c r="B63" s="206"/>
      <c r="C63" s="287"/>
      <c r="D63" s="314"/>
      <c r="E63" s="314"/>
      <c r="F63" s="314"/>
      <c r="G63" s="315"/>
      <c r="H63" s="315" t="s">
        <v>248</v>
      </c>
      <c r="I63" s="316">
        <f>IF(E7=0,0,I62/$E$7)</f>
        <v>3593.1826666666666</v>
      </c>
      <c r="J63" s="317">
        <f>IF(($E$7-$E$8)=0,0,J62/($E$7-$E$8))</f>
        <v>0</v>
      </c>
      <c r="K63" s="318">
        <f>IF(E8=0,0,K62/$E$8)</f>
        <v>3593.1826666666666</v>
      </c>
      <c r="L63" s="319"/>
      <c r="M63" s="319"/>
      <c r="N63" s="319"/>
      <c r="O63" s="320"/>
      <c r="P63" s="320"/>
      <c r="Q63" s="123"/>
      <c r="R63" s="245"/>
      <c r="S63" s="71"/>
    </row>
    <row r="64" spans="1:22" s="119" customFormat="1" ht="18.600000000000001" customHeight="1" thickBot="1">
      <c r="B64" s="218"/>
      <c r="C64" s="321"/>
      <c r="D64" s="322"/>
      <c r="E64" s="322"/>
      <c r="F64" s="322"/>
      <c r="G64" s="323"/>
      <c r="H64" s="323" t="s">
        <v>249</v>
      </c>
      <c r="I64" s="256">
        <f t="shared" ref="I64:P64" si="29">IF(I33=0,0,I62/I33)</f>
        <v>122.07868629671573</v>
      </c>
      <c r="J64" s="256">
        <f t="shared" si="29"/>
        <v>0</v>
      </c>
      <c r="K64" s="256">
        <f t="shared" si="29"/>
        <v>122.07868629671573</v>
      </c>
      <c r="L64" s="256">
        <f t="shared" si="29"/>
        <v>0</v>
      </c>
      <c r="M64" s="256">
        <f t="shared" si="29"/>
        <v>0</v>
      </c>
      <c r="N64" s="256">
        <f t="shared" si="29"/>
        <v>0</v>
      </c>
      <c r="O64" s="256">
        <f t="shared" si="29"/>
        <v>0</v>
      </c>
      <c r="P64" s="364">
        <f t="shared" si="29"/>
        <v>0</v>
      </c>
      <c r="Q64" s="365"/>
      <c r="R64" s="245"/>
      <c r="S64" s="71"/>
      <c r="U64" s="71"/>
      <c r="V64" s="71"/>
    </row>
    <row r="65" spans="2:24" ht="13.5" thickBot="1">
      <c r="B65" s="324"/>
      <c r="C65" s="324"/>
      <c r="D65" s="324"/>
      <c r="E65" s="324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5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491" t="s">
        <v>250</v>
      </c>
      <c r="C66" s="492"/>
      <c r="D66" s="492"/>
      <c r="E66" s="492"/>
      <c r="F66" s="492"/>
      <c r="G66" s="492"/>
      <c r="H66" s="492"/>
      <c r="I66" s="492"/>
      <c r="J66" s="492"/>
      <c r="K66" s="482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6"/>
      <c r="C67" s="71"/>
      <c r="D67" s="71"/>
      <c r="E67" s="71"/>
      <c r="F67" s="71"/>
      <c r="G67" s="71"/>
      <c r="H67" s="108"/>
      <c r="I67" s="327"/>
      <c r="J67" s="327"/>
      <c r="K67" s="328"/>
      <c r="L67" s="329"/>
      <c r="M67" s="329"/>
      <c r="N67" s="329"/>
      <c r="O67" s="329"/>
      <c r="P67" s="329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>
      <c r="B68" s="279" t="s">
        <v>251</v>
      </c>
      <c r="C68" s="280" t="s">
        <v>252</v>
      </c>
      <c r="D68" s="281"/>
      <c r="E68" s="281"/>
      <c r="F68" s="281"/>
      <c r="G68" s="281"/>
      <c r="H68" s="330"/>
      <c r="I68" s="331" t="s">
        <v>161</v>
      </c>
      <c r="J68" s="133" t="s">
        <v>162</v>
      </c>
      <c r="K68" s="134" t="s">
        <v>227</v>
      </c>
      <c r="L68" s="282" t="s">
        <v>164</v>
      </c>
      <c r="M68" s="132" t="s">
        <v>165</v>
      </c>
      <c r="N68" s="132" t="s">
        <v>166</v>
      </c>
      <c r="O68" s="332" t="s">
        <v>167</v>
      </c>
      <c r="P68" s="333" t="s">
        <v>0</v>
      </c>
      <c r="Q68" s="283"/>
      <c r="R68" s="140"/>
      <c r="U68" s="71"/>
      <c r="V68" s="71"/>
    </row>
    <row r="69" spans="2:24" ht="24" customHeight="1">
      <c r="B69" s="234" t="s">
        <v>253</v>
      </c>
      <c r="C69" s="286" t="s">
        <v>254</v>
      </c>
      <c r="D69" s="334"/>
      <c r="E69" s="334"/>
      <c r="F69" s="334"/>
      <c r="G69" s="334"/>
      <c r="H69" s="335"/>
      <c r="I69" s="336">
        <f>J69+K69</f>
        <v>114000</v>
      </c>
      <c r="J69" s="336">
        <f>'Recettes et simulat'!G16</f>
        <v>0</v>
      </c>
      <c r="K69" s="337">
        <f>'Recettes et simulat'!J28</f>
        <v>114000</v>
      </c>
      <c r="L69" s="240"/>
      <c r="M69" s="241"/>
      <c r="N69" s="338"/>
      <c r="O69" s="338"/>
      <c r="P69" s="243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1" t="s">
        <v>255</v>
      </c>
      <c r="C70" s="252" t="s">
        <v>256</v>
      </c>
      <c r="D70" s="339"/>
      <c r="E70" s="339"/>
      <c r="F70" s="339"/>
      <c r="G70" s="339"/>
      <c r="H70" s="340"/>
      <c r="I70" s="341">
        <f>J70+K70</f>
        <v>0</v>
      </c>
      <c r="J70" s="342"/>
      <c r="K70" s="343">
        <f>'Recettes et simulat'!F39</f>
        <v>0</v>
      </c>
      <c r="L70" s="258"/>
      <c r="M70" s="259"/>
      <c r="N70" s="259"/>
      <c r="O70" s="344"/>
      <c r="P70" s="261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>
      <c r="B71" s="345"/>
      <c r="C71" s="346"/>
      <c r="D71" s="347"/>
      <c r="E71" s="346"/>
      <c r="F71" s="347"/>
      <c r="G71" s="347"/>
      <c r="H71" s="347"/>
      <c r="I71" s="348"/>
      <c r="J71" s="348"/>
      <c r="K71" s="349"/>
      <c r="L71" s="348"/>
      <c r="M71" s="348"/>
      <c r="N71" s="348"/>
      <c r="O71" s="348"/>
      <c r="P71" s="348"/>
      <c r="Q71" s="350"/>
      <c r="R71" s="351"/>
      <c r="S71" s="352"/>
      <c r="T71" s="71"/>
      <c r="U71" s="71"/>
      <c r="V71" s="71"/>
      <c r="W71" s="71"/>
      <c r="X71" s="67"/>
    </row>
    <row r="72" spans="2:24" s="71" customFormat="1" ht="24.6" customHeight="1" thickBot="1">
      <c r="B72" s="307" t="s">
        <v>257</v>
      </c>
      <c r="C72" s="307"/>
      <c r="D72" s="308"/>
      <c r="E72" s="309"/>
      <c r="F72" s="308"/>
      <c r="G72" s="310"/>
      <c r="H72" s="311"/>
      <c r="I72" s="312">
        <f>I69+I70</f>
        <v>114000</v>
      </c>
      <c r="J72" s="312">
        <f>J69+J70</f>
        <v>0</v>
      </c>
      <c r="K72" s="313">
        <f>K69+K70</f>
        <v>114000</v>
      </c>
      <c r="L72" s="312">
        <f t="shared" ref="L72:O72" si="30">L69+L70</f>
        <v>0</v>
      </c>
      <c r="M72" s="312">
        <f t="shared" si="30"/>
        <v>0</v>
      </c>
      <c r="N72" s="312">
        <f t="shared" si="30"/>
        <v>0</v>
      </c>
      <c r="O72" s="312">
        <f t="shared" si="30"/>
        <v>0</v>
      </c>
      <c r="P72" s="313">
        <f>P69+P70</f>
        <v>0</v>
      </c>
      <c r="U72" s="119"/>
      <c r="V72" s="119"/>
      <c r="X72" s="67"/>
    </row>
    <row r="73" spans="2:24" s="119" customFormat="1" ht="18" customHeight="1" thickBot="1">
      <c r="B73" s="272"/>
      <c r="C73" s="300"/>
      <c r="D73" s="353"/>
      <c r="E73" s="353"/>
      <c r="F73" s="353"/>
      <c r="G73" s="354"/>
      <c r="H73" s="354" t="s">
        <v>258</v>
      </c>
      <c r="I73" s="355"/>
      <c r="J73" s="355"/>
      <c r="K73" s="356">
        <f>IF(E8=0,0,K72/$E$8)</f>
        <v>7600</v>
      </c>
      <c r="L73" s="319"/>
      <c r="M73" s="319"/>
      <c r="N73" s="319"/>
      <c r="O73" s="320"/>
      <c r="P73" s="320"/>
      <c r="Q73" s="123"/>
      <c r="R73" s="245"/>
      <c r="S73" s="71"/>
    </row>
    <row r="74" spans="2:24" s="71" customFormat="1" ht="13.5" thickBot="1">
      <c r="C74" s="324"/>
      <c r="D74" s="324"/>
      <c r="E74" s="324"/>
      <c r="F74" s="324"/>
      <c r="G74" s="324"/>
      <c r="H74" s="324"/>
      <c r="I74" s="357"/>
      <c r="J74" s="357"/>
      <c r="K74" s="357"/>
      <c r="L74" s="357"/>
      <c r="M74" s="357"/>
      <c r="N74" s="357"/>
      <c r="O74" s="357"/>
      <c r="P74" s="357"/>
      <c r="Q74" s="68"/>
      <c r="R74" s="67"/>
    </row>
    <row r="75" spans="2:24" s="71" customFormat="1" ht="24.6" customHeight="1" thickBot="1">
      <c r="B75" s="307" t="s">
        <v>259</v>
      </c>
      <c r="C75" s="307"/>
      <c r="D75" s="308"/>
      <c r="E75" s="309"/>
      <c r="F75" s="308"/>
      <c r="G75" s="310"/>
      <c r="H75" s="311"/>
      <c r="I75" s="312">
        <f t="shared" ref="I75:P75" si="31">I72-I62</f>
        <v>60102.26</v>
      </c>
      <c r="J75" s="312">
        <f t="shared" si="31"/>
        <v>0</v>
      </c>
      <c r="K75" s="313">
        <f t="shared" si="31"/>
        <v>60102.26</v>
      </c>
      <c r="L75" s="312">
        <f t="shared" si="31"/>
        <v>0</v>
      </c>
      <c r="M75" s="312">
        <f t="shared" si="31"/>
        <v>0</v>
      </c>
      <c r="N75" s="312">
        <f t="shared" si="31"/>
        <v>0</v>
      </c>
      <c r="O75" s="312">
        <f t="shared" si="31"/>
        <v>0</v>
      </c>
      <c r="P75" s="313">
        <f t="shared" si="31"/>
        <v>0</v>
      </c>
      <c r="Q75" s="150">
        <f>IF($K$72=0,0,K75/$K$72)</f>
        <v>0.52721280701754392</v>
      </c>
      <c r="R75" s="151" t="s">
        <v>169</v>
      </c>
      <c r="U75" s="119"/>
      <c r="V75" s="119"/>
      <c r="X75" s="67"/>
    </row>
    <row r="76" spans="2:24">
      <c r="B76" s="71"/>
      <c r="C76" s="71"/>
      <c r="D76" s="71"/>
      <c r="E76" s="71"/>
      <c r="F76" s="71"/>
      <c r="G76" s="71"/>
      <c r="H76" s="108"/>
      <c r="I76" s="109"/>
      <c r="J76" s="110"/>
      <c r="K76" s="108"/>
      <c r="L76" s="108"/>
      <c r="M76" s="108"/>
      <c r="N76" s="108"/>
      <c r="O76" s="108"/>
      <c r="P76" s="108"/>
      <c r="Q76" s="67"/>
      <c r="R76" s="67"/>
      <c r="S76" s="71"/>
      <c r="T76" s="71"/>
      <c r="U76" s="71"/>
      <c r="V76" s="71"/>
      <c r="W76" s="71"/>
      <c r="X76" s="71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551AC0-BD7A-4DF8-8F66-B92FC055C4EE}"/>
</file>

<file path=customXml/itemProps2.xml><?xml version="1.0" encoding="utf-8"?>
<ds:datastoreItem xmlns:ds="http://schemas.openxmlformats.org/officeDocument/2006/customXml" ds:itemID="{64D11810-A02F-487B-82D8-989CD93E2255}"/>
</file>

<file path=customXml/itemProps3.xml><?xml version="1.0" encoding="utf-8"?>
<ds:datastoreItem xmlns:ds="http://schemas.openxmlformats.org/officeDocument/2006/customXml" ds:itemID="{09EC3739-C54C-407C-9C44-FE499875E1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Aude Petignier</cp:lastModifiedBy>
  <cp:revision/>
  <dcterms:created xsi:type="dcterms:W3CDTF">2001-05-25T13:39:11Z</dcterms:created>
  <dcterms:modified xsi:type="dcterms:W3CDTF">2021-12-06T12:34:56Z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